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C:\Users\ynithya\OneDrive - Infosys Limited\Nithya_Personal\Excel\TaxCalc\"/>
    </mc:Choice>
  </mc:AlternateContent>
  <xr:revisionPtr revIDLastSave="0" documentId="13_ncr:1_{FF51D35E-C370-438E-8911-0BB20FF81DB4}" xr6:coauthVersionLast="47" xr6:coauthVersionMax="47" xr10:uidLastSave="{00000000-0000-0000-0000-000000000000}"/>
  <workbookProtection workbookAlgorithmName="SHA-512" workbookHashValue="Gzy9bzw27wj829aDccJRFeWy37tuFtB7iS85Gf+3lC6f6uHR8J5+nr8LDUW/zK3vG2KzfSNSYmLrPIbQyaBrXQ==" workbookSaltValue="6U2+L9QU1NGLdgU1EY3ZWA==" workbookSpinCount="100000" lockStructure="1"/>
  <bookViews>
    <workbookView xWindow="-120" yWindow="-120" windowWidth="29040" windowHeight="15720" tabRatio="708" xr2:uid="{00000000-000D-0000-FFFF-FFFF00000000}"/>
  </bookViews>
  <sheets>
    <sheet name="Instructions" sheetId="3" r:id="rId1"/>
    <sheet name="IT 2023-24" sheetId="1" r:id="rId2"/>
    <sheet name="Perquisites" sheetId="4" r:id="rId3"/>
    <sheet name="NSC Accrued Interest" sheetId="5" r:id="rId4"/>
    <sheet name="TDS" sheetId="10" r:id="rId5"/>
    <sheet name="Capital Gains - Equity" sheetId="6" r:id="rId6"/>
    <sheet name="Cap Gains - Property&amp;Debt MF" sheetId="8" r:id="rId7"/>
    <sheet name="Notes" sheetId="9" r:id="rId8"/>
    <sheet name="Cost Inflation Index" sheetId="7" state="hidden" r:id="rId9"/>
  </sheets>
  <definedNames>
    <definedName name="_xlnm._FilterDatabase" localSheetId="6" hidden="1">'Cap Gains - Property&amp;Debt MF'!$A$5:$H$12</definedName>
    <definedName name="_xlnm._FilterDatabase" localSheetId="3" hidden="1">'NSC Accrued Interest'!$A$22:$D$71</definedName>
    <definedName name="_xlnm._FilterDatabase" localSheetId="4" hidden="1">TDS!#REF!</definedName>
    <definedName name="Copyright">Perquisites!$P$16</definedName>
    <definedName name="_xlnm.Print_Area" localSheetId="6">'Cap Gains - Property&amp;Debt MF'!$A$1:$H$125</definedName>
    <definedName name="_xlnm.Print_Area" localSheetId="5">'Capital Gains - Equity'!$A$1:$J$160</definedName>
    <definedName name="_xlnm.Print_Area" localSheetId="0">Instructions!$A$1:$B$79</definedName>
    <definedName name="_xlnm.Print_Area" localSheetId="1">'IT 2023-24'!$A$1:$T$38,'IT 2023-24'!$A$50:$T$90</definedName>
    <definedName name="_xlnm.Print_Area" localSheetId="7">Notes!$A$1:$B$97</definedName>
    <definedName name="_xlnm.Print_Area" localSheetId="3">'NSC Accrued Interest'!$A$16:$D$73</definedName>
    <definedName name="_xlnm.Print_Area" localSheetId="2">Perquisites!$A$1:$L$56</definedName>
    <definedName name="_xlnm.Print_Area" localSheetId="4">TDS!$A$1:$D$206</definedName>
    <definedName name="_xlnm.Print_Titles" localSheetId="6">'Cap Gains - Property&amp;Debt MF'!$1:$6</definedName>
    <definedName name="_xlnm.Print_Titles" localSheetId="5">'Capital Gains - Equity'!$1:$6</definedName>
    <definedName name="_xlnm.Print_Titles" localSheetId="0">Instructions!$1:$6</definedName>
    <definedName name="_xlnm.Print_Titles" localSheetId="1">'IT 2023-24'!$1:$1</definedName>
    <definedName name="_xlnm.Print_Titles" localSheetId="7">Notes!$1:$5</definedName>
    <definedName name="_xlnm.Print_Titles" localSheetId="4">TDS!$1:$3</definedName>
    <definedName name="VerNo">Perquisites!$P$17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B24" i="7"/>
  <c r="L21" i="1"/>
  <c r="K21" i="1"/>
  <c r="J21" i="1"/>
  <c r="I21" i="1"/>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23" i="8"/>
  <c r="D48" i="1"/>
  <c r="E48" i="1"/>
  <c r="F48" i="1"/>
  <c r="G48" i="1"/>
  <c r="H48" i="1"/>
  <c r="I48" i="1"/>
  <c r="J48" i="1"/>
  <c r="K48" i="1"/>
  <c r="L48" i="1"/>
  <c r="M48" i="1"/>
  <c r="N48" i="1"/>
  <c r="O48" i="1"/>
  <c r="B23" i="7"/>
  <c r="O66" i="1"/>
  <c r="F74" i="1" s="1"/>
  <c r="D21" i="4"/>
  <c r="E21" i="4"/>
  <c r="F21" i="4"/>
  <c r="G21" i="4"/>
  <c r="H21" i="4"/>
  <c r="I21" i="4"/>
  <c r="J21" i="4"/>
  <c r="K21" i="4"/>
  <c r="L21" i="4"/>
  <c r="C21" i="4"/>
  <c r="B21" i="4"/>
  <c r="L12" i="4"/>
  <c r="K12" i="4"/>
  <c r="J12" i="4"/>
  <c r="I12" i="4"/>
  <c r="H12" i="4"/>
  <c r="G12" i="4"/>
  <c r="F12" i="4"/>
  <c r="E12" i="4"/>
  <c r="D12" i="4"/>
  <c r="C12" i="4"/>
  <c r="B12" i="4"/>
  <c r="L12" i="6"/>
  <c r="M12" i="6"/>
  <c r="L13" i="6"/>
  <c r="M13" i="6"/>
  <c r="L14" i="6"/>
  <c r="M14" i="6"/>
  <c r="L15" i="6"/>
  <c r="M15" i="6"/>
  <c r="L16" i="6"/>
  <c r="M16" i="6"/>
  <c r="L17" i="6"/>
  <c r="M17" i="6"/>
  <c r="L18" i="6"/>
  <c r="M18" i="6"/>
  <c r="L19" i="6"/>
  <c r="M19" i="6"/>
  <c r="L20" i="6"/>
  <c r="M20" i="6"/>
  <c r="L21" i="6"/>
  <c r="M21" i="6"/>
  <c r="L22" i="6"/>
  <c r="M22" i="6"/>
  <c r="L23" i="6"/>
  <c r="M23" i="6"/>
  <c r="L24" i="6"/>
  <c r="M24" i="6"/>
  <c r="L25" i="6"/>
  <c r="M25" i="6"/>
  <c r="L26" i="6"/>
  <c r="M26" i="6"/>
  <c r="L27" i="6"/>
  <c r="M27" i="6"/>
  <c r="L28" i="6"/>
  <c r="M28" i="6"/>
  <c r="L29" i="6"/>
  <c r="M29" i="6"/>
  <c r="L30" i="6"/>
  <c r="M30" i="6"/>
  <c r="L31" i="6"/>
  <c r="M31" i="6"/>
  <c r="L32" i="6"/>
  <c r="M32" i="6"/>
  <c r="L33" i="6"/>
  <c r="M33" i="6"/>
  <c r="L34" i="6"/>
  <c r="M34" i="6"/>
  <c r="L35" i="6"/>
  <c r="M35" i="6"/>
  <c r="L36" i="6"/>
  <c r="M36" i="6"/>
  <c r="L37" i="6"/>
  <c r="M37" i="6"/>
  <c r="L38" i="6"/>
  <c r="M38" i="6"/>
  <c r="L39" i="6"/>
  <c r="M39" i="6"/>
  <c r="L40" i="6"/>
  <c r="M40" i="6"/>
  <c r="L41" i="6"/>
  <c r="M41" i="6"/>
  <c r="L42" i="6"/>
  <c r="M42" i="6"/>
  <c r="L43" i="6"/>
  <c r="M43" i="6"/>
  <c r="B22" i="7"/>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D151" i="10"/>
  <c r="D152" i="10"/>
  <c r="D153" i="10"/>
  <c r="D154" i="10"/>
  <c r="D155" i="10"/>
  <c r="D156" i="10"/>
  <c r="D157" i="10"/>
  <c r="D158" i="10"/>
  <c r="D159" i="10"/>
  <c r="D160" i="10"/>
  <c r="D161" i="10"/>
  <c r="D162" i="10"/>
  <c r="D163" i="10"/>
  <c r="D164" i="10"/>
  <c r="D165" i="10"/>
  <c r="D166" i="10"/>
  <c r="D167" i="10"/>
  <c r="D168" i="10"/>
  <c r="D169" i="10"/>
  <c r="D170" i="10"/>
  <c r="D171" i="10"/>
  <c r="D172" i="10"/>
  <c r="D173" i="10"/>
  <c r="D174" i="10"/>
  <c r="D175" i="10"/>
  <c r="D176" i="10"/>
  <c r="D177" i="10"/>
  <c r="D178" i="10"/>
  <c r="D179" i="10"/>
  <c r="D180" i="10"/>
  <c r="D181" i="10"/>
  <c r="D182" i="10"/>
  <c r="D183" i="10"/>
  <c r="D184" i="10"/>
  <c r="D185" i="10"/>
  <c r="D186" i="10"/>
  <c r="D187" i="10"/>
  <c r="D188" i="10"/>
  <c r="D189" i="10"/>
  <c r="D190" i="10"/>
  <c r="D191" i="10"/>
  <c r="D192" i="10"/>
  <c r="D193" i="10"/>
  <c r="D194" i="10"/>
  <c r="D195" i="10"/>
  <c r="D196" i="10"/>
  <c r="D197" i="10"/>
  <c r="D198" i="10"/>
  <c r="D199" i="10"/>
  <c r="D200" i="10"/>
  <c r="D201" i="10"/>
  <c r="D202" i="10"/>
  <c r="D203" i="10"/>
  <c r="D204" i="10"/>
  <c r="C206" i="10"/>
  <c r="G80" i="1" s="1"/>
  <c r="B206" i="10"/>
  <c r="D5" i="10"/>
  <c r="I204" i="10"/>
  <c r="F204" i="10"/>
  <c r="I203" i="10"/>
  <c r="H203" i="10"/>
  <c r="F203" i="10"/>
  <c r="I202" i="10"/>
  <c r="H202" i="10"/>
  <c r="G202" i="10"/>
  <c r="I201" i="10"/>
  <c r="F201" i="10"/>
  <c r="I200" i="10"/>
  <c r="F200" i="10"/>
  <c r="I199" i="10"/>
  <c r="H199" i="10"/>
  <c r="F199" i="10"/>
  <c r="I198" i="10"/>
  <c r="H198" i="10"/>
  <c r="G198" i="10"/>
  <c r="I197" i="10"/>
  <c r="G197" i="10"/>
  <c r="I196" i="10"/>
  <c r="F196" i="10"/>
  <c r="I195" i="10"/>
  <c r="H195" i="10"/>
  <c r="F195" i="10"/>
  <c r="I194" i="10"/>
  <c r="H194" i="10"/>
  <c r="G194" i="10"/>
  <c r="I193" i="10"/>
  <c r="G193" i="10"/>
  <c r="I192" i="10"/>
  <c r="F192" i="10"/>
  <c r="I191" i="10"/>
  <c r="H191" i="10"/>
  <c r="F191" i="10"/>
  <c r="I190" i="10"/>
  <c r="H190" i="10"/>
  <c r="G190" i="10"/>
  <c r="I189" i="10"/>
  <c r="G189" i="10"/>
  <c r="I188" i="10"/>
  <c r="F188" i="10"/>
  <c r="I187" i="10"/>
  <c r="H187" i="10"/>
  <c r="F187" i="10"/>
  <c r="I186" i="10"/>
  <c r="H186" i="10"/>
  <c r="G186" i="10"/>
  <c r="I185" i="10"/>
  <c r="F185" i="10"/>
  <c r="I184" i="10"/>
  <c r="F184" i="10"/>
  <c r="I183" i="10"/>
  <c r="H183" i="10"/>
  <c r="F183" i="10"/>
  <c r="I182" i="10"/>
  <c r="H182" i="10"/>
  <c r="G182" i="10"/>
  <c r="I181" i="10"/>
  <c r="G181" i="10"/>
  <c r="I180" i="10"/>
  <c r="F180" i="10"/>
  <c r="I179" i="10"/>
  <c r="H179" i="10"/>
  <c r="F179" i="10"/>
  <c r="I178" i="10"/>
  <c r="H178" i="10"/>
  <c r="G178" i="10"/>
  <c r="I177" i="10"/>
  <c r="G177" i="10"/>
  <c r="I176" i="10"/>
  <c r="F176" i="10"/>
  <c r="I175" i="10"/>
  <c r="H175" i="10"/>
  <c r="F175" i="10"/>
  <c r="I174" i="10"/>
  <c r="H174" i="10"/>
  <c r="G174" i="10"/>
  <c r="I173" i="10"/>
  <c r="G173" i="10"/>
  <c r="I172" i="10"/>
  <c r="F172" i="10"/>
  <c r="I171" i="10"/>
  <c r="H171" i="10"/>
  <c r="F171" i="10"/>
  <c r="I170" i="10"/>
  <c r="H170" i="10"/>
  <c r="G170" i="10"/>
  <c r="I169" i="10"/>
  <c r="F169" i="10"/>
  <c r="I168" i="10"/>
  <c r="F168" i="10"/>
  <c r="I167" i="10"/>
  <c r="H167" i="10"/>
  <c r="F167" i="10"/>
  <c r="I166" i="10"/>
  <c r="H166" i="10"/>
  <c r="G166" i="10"/>
  <c r="I165" i="10"/>
  <c r="G165" i="10"/>
  <c r="I164" i="10"/>
  <c r="F164" i="10"/>
  <c r="I163" i="10"/>
  <c r="H163" i="10"/>
  <c r="F163" i="10"/>
  <c r="I162" i="10"/>
  <c r="H162" i="10"/>
  <c r="G162" i="10"/>
  <c r="I161" i="10"/>
  <c r="F161" i="10"/>
  <c r="I160" i="10"/>
  <c r="F160" i="10"/>
  <c r="I159" i="10"/>
  <c r="H159" i="10"/>
  <c r="F159" i="10"/>
  <c r="I158" i="10"/>
  <c r="H158" i="10"/>
  <c r="G158" i="10"/>
  <c r="I157" i="10"/>
  <c r="G157" i="10"/>
  <c r="I156" i="10"/>
  <c r="F156" i="10"/>
  <c r="I155" i="10"/>
  <c r="H155" i="10"/>
  <c r="F155" i="10"/>
  <c r="I154" i="10"/>
  <c r="H154" i="10"/>
  <c r="G154" i="10"/>
  <c r="I153" i="10"/>
  <c r="G153" i="10"/>
  <c r="I152" i="10"/>
  <c r="F152" i="10"/>
  <c r="I151" i="10"/>
  <c r="H151" i="10"/>
  <c r="F151" i="10"/>
  <c r="I150" i="10"/>
  <c r="H150" i="10"/>
  <c r="G150" i="10"/>
  <c r="I149" i="10"/>
  <c r="F149" i="10"/>
  <c r="I148" i="10"/>
  <c r="F148" i="10"/>
  <c r="I147" i="10"/>
  <c r="H147" i="10"/>
  <c r="F147" i="10"/>
  <c r="I146" i="10"/>
  <c r="H146" i="10"/>
  <c r="G146" i="10"/>
  <c r="I145" i="10"/>
  <c r="G145" i="10"/>
  <c r="I144" i="10"/>
  <c r="F144" i="10"/>
  <c r="I143" i="10"/>
  <c r="H143" i="10"/>
  <c r="F143" i="10"/>
  <c r="I142" i="10"/>
  <c r="H142" i="10"/>
  <c r="G142" i="10"/>
  <c r="I141" i="10"/>
  <c r="G141" i="10"/>
  <c r="I140" i="10"/>
  <c r="F140" i="10"/>
  <c r="I139" i="10"/>
  <c r="H139" i="10"/>
  <c r="F139" i="10"/>
  <c r="I138" i="10"/>
  <c r="H138" i="10"/>
  <c r="G138" i="10"/>
  <c r="I137" i="10"/>
  <c r="G137" i="10"/>
  <c r="I136" i="10"/>
  <c r="F136" i="10"/>
  <c r="I135" i="10"/>
  <c r="H135" i="10"/>
  <c r="F135" i="10"/>
  <c r="I134" i="10"/>
  <c r="H134" i="10"/>
  <c r="G134" i="10"/>
  <c r="I133" i="10"/>
  <c r="F133" i="10"/>
  <c r="I132" i="10"/>
  <c r="F132" i="10"/>
  <c r="I131" i="10"/>
  <c r="H131" i="10"/>
  <c r="F131" i="10"/>
  <c r="I130" i="10"/>
  <c r="H130" i="10"/>
  <c r="G130" i="10"/>
  <c r="I129" i="10"/>
  <c r="F129" i="10"/>
  <c r="I128" i="10"/>
  <c r="F128" i="10"/>
  <c r="I127" i="10"/>
  <c r="H127" i="10"/>
  <c r="F127" i="10"/>
  <c r="I126" i="10"/>
  <c r="H126" i="10"/>
  <c r="G126" i="10"/>
  <c r="I125" i="10"/>
  <c r="G125" i="10"/>
  <c r="I124" i="10"/>
  <c r="F124" i="10"/>
  <c r="I123" i="10"/>
  <c r="H123" i="10"/>
  <c r="F123" i="10"/>
  <c r="I122" i="10"/>
  <c r="H122" i="10"/>
  <c r="G122" i="10"/>
  <c r="I121" i="10"/>
  <c r="F121" i="10"/>
  <c r="I120" i="10"/>
  <c r="F120" i="10"/>
  <c r="I119" i="10"/>
  <c r="H119" i="10"/>
  <c r="F119" i="10"/>
  <c r="I118" i="10"/>
  <c r="H118" i="10"/>
  <c r="G118" i="10"/>
  <c r="I117" i="10"/>
  <c r="F117" i="10"/>
  <c r="I116" i="10"/>
  <c r="F116" i="10"/>
  <c r="I115" i="10"/>
  <c r="H115" i="10"/>
  <c r="F115" i="10"/>
  <c r="I114" i="10"/>
  <c r="H114" i="10"/>
  <c r="G114" i="10"/>
  <c r="I113" i="10"/>
  <c r="G113" i="10"/>
  <c r="I112" i="10"/>
  <c r="F112" i="10"/>
  <c r="I111" i="10"/>
  <c r="H111" i="10"/>
  <c r="F111" i="10"/>
  <c r="I110" i="10"/>
  <c r="H110" i="10"/>
  <c r="G110" i="10"/>
  <c r="I109" i="10"/>
  <c r="G109" i="10"/>
  <c r="I108" i="10"/>
  <c r="F108" i="10"/>
  <c r="I107" i="10"/>
  <c r="H107" i="10"/>
  <c r="F107" i="10"/>
  <c r="I106" i="10"/>
  <c r="H106" i="10"/>
  <c r="G106" i="10"/>
  <c r="I5" i="10"/>
  <c r="G5" i="10"/>
  <c r="H204" i="10"/>
  <c r="A1" i="10"/>
  <c r="G74" i="1" l="1"/>
  <c r="AG73" i="1"/>
  <c r="AJ73" i="1" s="1"/>
  <c r="D206" i="10"/>
  <c r="O63" i="1" s="1"/>
  <c r="G192" i="10"/>
  <c r="F125" i="10"/>
  <c r="G184" i="10"/>
  <c r="G200" i="10"/>
  <c r="G117" i="10"/>
  <c r="F166" i="10"/>
  <c r="G204" i="10"/>
  <c r="F170" i="10"/>
  <c r="F153" i="10"/>
  <c r="G176" i="10"/>
  <c r="G148" i="10"/>
  <c r="F186" i="10"/>
  <c r="G161" i="10"/>
  <c r="F157" i="10"/>
  <c r="F189" i="10"/>
  <c r="G149" i="10"/>
  <c r="G144" i="10"/>
  <c r="G152" i="10"/>
  <c r="G160" i="10"/>
  <c r="F182" i="10"/>
  <c r="F198" i="10"/>
  <c r="G112" i="10"/>
  <c r="G120" i="10"/>
  <c r="G129" i="10"/>
  <c r="G116" i="10"/>
  <c r="G121" i="10"/>
  <c r="G169" i="10"/>
  <c r="F177" i="10"/>
  <c r="G185" i="10"/>
  <c r="F193" i="10"/>
  <c r="G201" i="10"/>
  <c r="G133" i="10"/>
  <c r="F202" i="10"/>
  <c r="F173" i="10"/>
  <c r="F145" i="10"/>
  <c r="G164" i="10"/>
  <c r="G180" i="10"/>
  <c r="G196" i="10"/>
  <c r="G108" i="10"/>
  <c r="F113" i="10"/>
  <c r="G140" i="10"/>
  <c r="G128" i="10"/>
  <c r="F162" i="10"/>
  <c r="F178" i="10"/>
  <c r="F194" i="10"/>
  <c r="F141" i="10"/>
  <c r="F181" i="10"/>
  <c r="F190" i="10"/>
  <c r="F197" i="10"/>
  <c r="F109" i="10"/>
  <c r="G136" i="10"/>
  <c r="F158" i="10"/>
  <c r="F165" i="10"/>
  <c r="F174" i="10"/>
  <c r="G124" i="10"/>
  <c r="G156" i="10"/>
  <c r="G172" i="10"/>
  <c r="G188" i="10"/>
  <c r="F5" i="10"/>
  <c r="G132" i="10"/>
  <c r="F137" i="10"/>
  <c r="G168" i="10"/>
  <c r="G115" i="10"/>
  <c r="G123" i="10"/>
  <c r="G131" i="10"/>
  <c r="G135" i="10"/>
  <c r="G139" i="10"/>
  <c r="G147" i="10"/>
  <c r="G151" i="10"/>
  <c r="G155" i="10"/>
  <c r="G159" i="10"/>
  <c r="G163" i="10"/>
  <c r="G167" i="10"/>
  <c r="G171" i="10"/>
  <c r="G175" i="10"/>
  <c r="G179" i="10"/>
  <c r="G183" i="10"/>
  <c r="G187" i="10"/>
  <c r="G191" i="10"/>
  <c r="G195" i="10"/>
  <c r="G199" i="10"/>
  <c r="G203" i="10"/>
  <c r="G107" i="10"/>
  <c r="G111" i="10"/>
  <c r="G119" i="10"/>
  <c r="G127" i="10"/>
  <c r="G143" i="10"/>
  <c r="F106" i="10"/>
  <c r="F110" i="10"/>
  <c r="F114" i="10"/>
  <c r="F118" i="10"/>
  <c r="F122" i="10"/>
  <c r="F126" i="10"/>
  <c r="F130" i="10"/>
  <c r="F134" i="10"/>
  <c r="F138" i="10"/>
  <c r="F142" i="10"/>
  <c r="F146" i="10"/>
  <c r="F150" i="10"/>
  <c r="F154" i="10"/>
  <c r="H5" i="10"/>
  <c r="H109" i="10"/>
  <c r="H113" i="10"/>
  <c r="H117" i="10"/>
  <c r="H121" i="10"/>
  <c r="H125" i="10"/>
  <c r="H129" i="10"/>
  <c r="H133" i="10"/>
  <c r="H137" i="10"/>
  <c r="H141" i="10"/>
  <c r="H145" i="10"/>
  <c r="H149" i="10"/>
  <c r="H153" i="10"/>
  <c r="H157" i="10"/>
  <c r="H161" i="10"/>
  <c r="H165" i="10"/>
  <c r="H169" i="10"/>
  <c r="H173" i="10"/>
  <c r="H177" i="10"/>
  <c r="H181" i="10"/>
  <c r="H185" i="10"/>
  <c r="H189" i="10"/>
  <c r="H193" i="10"/>
  <c r="H197" i="10"/>
  <c r="H201" i="10"/>
  <c r="H108" i="10"/>
  <c r="H112" i="10"/>
  <c r="H116" i="10"/>
  <c r="H120" i="10"/>
  <c r="H124" i="10"/>
  <c r="H128" i="10"/>
  <c r="H132" i="10"/>
  <c r="H136" i="10"/>
  <c r="H140" i="10"/>
  <c r="H144" i="10"/>
  <c r="H148" i="10"/>
  <c r="H152" i="10"/>
  <c r="H156" i="10"/>
  <c r="H160" i="10"/>
  <c r="H164" i="10"/>
  <c r="H168" i="10"/>
  <c r="H172" i="10"/>
  <c r="H176" i="10"/>
  <c r="H180" i="10"/>
  <c r="H184" i="10"/>
  <c r="H188" i="10"/>
  <c r="H192" i="10"/>
  <c r="H196" i="10"/>
  <c r="H200" i="10"/>
  <c r="J27" i="8"/>
  <c r="G27" i="8" s="1"/>
  <c r="K27" i="8"/>
  <c r="M27" i="8"/>
  <c r="J28" i="8"/>
  <c r="G28" i="8" s="1"/>
  <c r="K28" i="8"/>
  <c r="M28" i="8"/>
  <c r="J29" i="8"/>
  <c r="K29" i="8"/>
  <c r="M29" i="8"/>
  <c r="J30" i="8"/>
  <c r="G30" i="8" s="1"/>
  <c r="K30" i="8"/>
  <c r="M30" i="8"/>
  <c r="J31" i="8"/>
  <c r="K31" i="8"/>
  <c r="M31" i="8"/>
  <c r="J32" i="8"/>
  <c r="G32" i="8" s="1"/>
  <c r="K32" i="8"/>
  <c r="M32" i="8"/>
  <c r="J33" i="8"/>
  <c r="K33" i="8"/>
  <c r="M33" i="8"/>
  <c r="J34" i="8"/>
  <c r="K34" i="8"/>
  <c r="M34" i="8"/>
  <c r="J35" i="8"/>
  <c r="G35" i="8" s="1"/>
  <c r="K35" i="8"/>
  <c r="M35" i="8"/>
  <c r="J36" i="8"/>
  <c r="G36" i="8" s="1"/>
  <c r="K36" i="8"/>
  <c r="M36" i="8"/>
  <c r="J37" i="8"/>
  <c r="K37" i="8"/>
  <c r="M37" i="8"/>
  <c r="J38" i="8"/>
  <c r="K38" i="8"/>
  <c r="M38" i="8"/>
  <c r="J39" i="8"/>
  <c r="K39" i="8"/>
  <c r="M39" i="8"/>
  <c r="J40" i="8"/>
  <c r="G40" i="8" s="1"/>
  <c r="K40" i="8"/>
  <c r="M40" i="8"/>
  <c r="J41" i="8"/>
  <c r="K41" i="8"/>
  <c r="M41" i="8"/>
  <c r="J42" i="8"/>
  <c r="K42" i="8"/>
  <c r="M42" i="8"/>
  <c r="J43" i="8"/>
  <c r="G43" i="8" s="1"/>
  <c r="K43" i="8"/>
  <c r="M43" i="8"/>
  <c r="J44" i="8"/>
  <c r="G44" i="8" s="1"/>
  <c r="K44" i="8"/>
  <c r="M44" i="8"/>
  <c r="J45" i="8"/>
  <c r="K45" i="8"/>
  <c r="M45" i="8"/>
  <c r="J46" i="8"/>
  <c r="G46" i="8" s="1"/>
  <c r="K46" i="8"/>
  <c r="M46" i="8"/>
  <c r="J47" i="8"/>
  <c r="K47" i="8"/>
  <c r="M47" i="8"/>
  <c r="J48" i="8"/>
  <c r="G48" i="8" s="1"/>
  <c r="K48" i="8"/>
  <c r="M48" i="8"/>
  <c r="J49" i="8"/>
  <c r="K49" i="8"/>
  <c r="M49" i="8"/>
  <c r="J50" i="8"/>
  <c r="K50" i="8"/>
  <c r="M50" i="8"/>
  <c r="J51" i="8"/>
  <c r="G51" i="8" s="1"/>
  <c r="K51" i="8"/>
  <c r="M51" i="8"/>
  <c r="J52" i="8"/>
  <c r="G52" i="8" s="1"/>
  <c r="K52" i="8"/>
  <c r="M52" i="8"/>
  <c r="J53" i="8"/>
  <c r="K53" i="8"/>
  <c r="M53" i="8"/>
  <c r="J54" i="8"/>
  <c r="G54" i="8" s="1"/>
  <c r="K54" i="8"/>
  <c r="M54" i="8"/>
  <c r="J55" i="8"/>
  <c r="K55" i="8"/>
  <c r="M55" i="8"/>
  <c r="J56" i="8"/>
  <c r="G56" i="8" s="1"/>
  <c r="K56" i="8"/>
  <c r="M56" i="8"/>
  <c r="J57" i="8"/>
  <c r="K57" i="8"/>
  <c r="M57" i="8"/>
  <c r="J58" i="8"/>
  <c r="K58" i="8"/>
  <c r="M58" i="8"/>
  <c r="J59" i="8"/>
  <c r="G59" i="8" s="1"/>
  <c r="K59" i="8"/>
  <c r="M59" i="8"/>
  <c r="J60" i="8"/>
  <c r="G60" i="8" s="1"/>
  <c r="K60" i="8"/>
  <c r="M60" i="8"/>
  <c r="J61" i="8"/>
  <c r="K61" i="8"/>
  <c r="M61" i="8"/>
  <c r="J62" i="8"/>
  <c r="G62" i="8" s="1"/>
  <c r="K62" i="8"/>
  <c r="M62" i="8"/>
  <c r="J63" i="8"/>
  <c r="K63" i="8"/>
  <c r="M63" i="8"/>
  <c r="J64" i="8"/>
  <c r="G64" i="8" s="1"/>
  <c r="K64" i="8"/>
  <c r="M64" i="8"/>
  <c r="J65" i="8"/>
  <c r="K65" i="8"/>
  <c r="M65" i="8"/>
  <c r="J66" i="8"/>
  <c r="K66" i="8"/>
  <c r="M66" i="8"/>
  <c r="J67" i="8"/>
  <c r="G67" i="8" s="1"/>
  <c r="K67" i="8"/>
  <c r="M67" i="8"/>
  <c r="J68" i="8"/>
  <c r="G68" i="8" s="1"/>
  <c r="K68" i="8"/>
  <c r="M68" i="8"/>
  <c r="J69" i="8"/>
  <c r="K69" i="8"/>
  <c r="M69" i="8"/>
  <c r="J70" i="8"/>
  <c r="G70" i="8" s="1"/>
  <c r="K70" i="8"/>
  <c r="M70" i="8"/>
  <c r="J71" i="8"/>
  <c r="K71" i="8"/>
  <c r="M71" i="8"/>
  <c r="J72" i="8"/>
  <c r="G72" i="8" s="1"/>
  <c r="K72" i="8"/>
  <c r="M72" i="8"/>
  <c r="J73" i="8"/>
  <c r="K73" i="8"/>
  <c r="M73" i="8"/>
  <c r="J74" i="8"/>
  <c r="K74" i="8"/>
  <c r="M74" i="8"/>
  <c r="J75" i="8"/>
  <c r="G75" i="8" s="1"/>
  <c r="K75" i="8"/>
  <c r="M75" i="8"/>
  <c r="J76" i="8"/>
  <c r="G76" i="8" s="1"/>
  <c r="K76" i="8"/>
  <c r="M76" i="8"/>
  <c r="J77" i="8"/>
  <c r="K77" i="8"/>
  <c r="M77" i="8"/>
  <c r="J78" i="8"/>
  <c r="G78" i="8" s="1"/>
  <c r="K78" i="8"/>
  <c r="M78" i="8"/>
  <c r="J79" i="8"/>
  <c r="K79" i="8"/>
  <c r="M79" i="8"/>
  <c r="J80" i="8"/>
  <c r="G80" i="8" s="1"/>
  <c r="K80" i="8"/>
  <c r="M80" i="8"/>
  <c r="J81" i="8"/>
  <c r="K81" i="8"/>
  <c r="M81" i="8"/>
  <c r="J82" i="8"/>
  <c r="K82" i="8"/>
  <c r="M82" i="8"/>
  <c r="J83" i="8"/>
  <c r="G83" i="8" s="1"/>
  <c r="K83" i="8"/>
  <c r="M83" i="8"/>
  <c r="J84" i="8"/>
  <c r="G84" i="8" s="1"/>
  <c r="K84" i="8"/>
  <c r="M84" i="8"/>
  <c r="J85" i="8"/>
  <c r="K85" i="8"/>
  <c r="M85" i="8"/>
  <c r="J86" i="8"/>
  <c r="G86" i="8" s="1"/>
  <c r="K86" i="8"/>
  <c r="M86" i="8"/>
  <c r="J87" i="8"/>
  <c r="K87" i="8"/>
  <c r="M87" i="8"/>
  <c r="J88" i="8"/>
  <c r="K88" i="8"/>
  <c r="M88" i="8"/>
  <c r="J89" i="8"/>
  <c r="K89" i="8"/>
  <c r="M89" i="8"/>
  <c r="J90" i="8"/>
  <c r="K90" i="8"/>
  <c r="M90" i="8"/>
  <c r="J91" i="8"/>
  <c r="K91" i="8"/>
  <c r="M91" i="8"/>
  <c r="G77" i="8" l="1"/>
  <c r="G53" i="8"/>
  <c r="G37" i="8"/>
  <c r="G29" i="8"/>
  <c r="G58" i="8"/>
  <c r="G50" i="8"/>
  <c r="G42" i="8"/>
  <c r="G34" i="8"/>
  <c r="G45" i="8"/>
  <c r="G82" i="8"/>
  <c r="G74" i="8"/>
  <c r="G66" i="8"/>
  <c r="G79" i="8"/>
  <c r="G71" i="8"/>
  <c r="G63" i="8"/>
  <c r="G55" i="8"/>
  <c r="G47" i="8"/>
  <c r="G39" i="8"/>
  <c r="G31" i="8"/>
  <c r="G85" i="8"/>
  <c r="G61" i="8"/>
  <c r="G81" i="8"/>
  <c r="G73" i="8"/>
  <c r="G65" i="8"/>
  <c r="G57" i="8"/>
  <c r="G49" i="8"/>
  <c r="G41" i="8"/>
  <c r="G33" i="8"/>
  <c r="G38" i="8"/>
  <c r="G69" i="8"/>
  <c r="G206" i="10"/>
  <c r="F206" i="10"/>
  <c r="O73" i="1"/>
  <c r="H206" i="10" l="1"/>
  <c r="T52" i="1" l="1"/>
  <c r="T51" i="1"/>
  <c r="AI21" i="1"/>
  <c r="AI20" i="1"/>
  <c r="B21" i="7"/>
  <c r="E97" i="1" l="1"/>
  <c r="F97" i="1"/>
  <c r="G97" i="1"/>
  <c r="H97" i="1"/>
  <c r="I97" i="1"/>
  <c r="J97" i="1"/>
  <c r="K97" i="1"/>
  <c r="L97" i="1"/>
  <c r="M97" i="1"/>
  <c r="N97" i="1"/>
  <c r="O97" i="1"/>
  <c r="D97" i="1"/>
  <c r="O89" i="1"/>
  <c r="E105" i="1" l="1"/>
  <c r="F105" i="1"/>
  <c r="G105" i="1"/>
  <c r="H105" i="1"/>
  <c r="I105" i="1"/>
  <c r="J105" i="1"/>
  <c r="K105" i="1"/>
  <c r="L105" i="1"/>
  <c r="M105" i="1"/>
  <c r="N105" i="1"/>
  <c r="O105" i="1"/>
  <c r="E106" i="1"/>
  <c r="F106" i="1"/>
  <c r="G106" i="1"/>
  <c r="H106" i="1"/>
  <c r="I106" i="1"/>
  <c r="J106" i="1"/>
  <c r="K106" i="1"/>
  <c r="L106" i="1"/>
  <c r="M106" i="1"/>
  <c r="N106" i="1"/>
  <c r="O106" i="1"/>
  <c r="D106" i="1"/>
  <c r="D105" i="1"/>
  <c r="E107" i="1"/>
  <c r="F107" i="1"/>
  <c r="G107" i="1"/>
  <c r="H107" i="1"/>
  <c r="I107" i="1"/>
  <c r="J107" i="1"/>
  <c r="K107" i="1"/>
  <c r="L107" i="1"/>
  <c r="M107" i="1"/>
  <c r="N107" i="1"/>
  <c r="O107" i="1"/>
  <c r="D107" i="1"/>
  <c r="P107" i="1" l="1"/>
  <c r="P106" i="1"/>
  <c r="B20" i="7"/>
  <c r="AI31" i="1" l="1"/>
  <c r="AF30" i="1"/>
  <c r="AI30" i="1" s="1"/>
  <c r="AF29" i="1"/>
  <c r="AI29" i="1" s="1"/>
  <c r="AF28" i="1"/>
  <c r="AI28" i="1" s="1"/>
  <c r="O60" i="1" l="1"/>
  <c r="AG65" i="1"/>
  <c r="O65" i="1" l="1"/>
  <c r="S37" i="1" l="1"/>
  <c r="S38" i="1" s="1"/>
  <c r="R37" i="1"/>
  <c r="R38" i="1" s="1"/>
  <c r="Q37" i="1"/>
  <c r="O68" i="1" l="1"/>
  <c r="B19" i="7"/>
  <c r="A7" i="9" l="1"/>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6" i="9"/>
  <c r="A1" i="9"/>
  <c r="M9" i="8" l="1"/>
  <c r="O78" i="1" l="1"/>
  <c r="O64" i="1"/>
  <c r="O62" i="1"/>
  <c r="O61" i="1"/>
  <c r="O59" i="1"/>
  <c r="O53" i="1"/>
  <c r="G60" i="1" l="1"/>
  <c r="F60" i="1"/>
  <c r="F62" i="1"/>
  <c r="G63" i="1"/>
  <c r="F63" i="1"/>
  <c r="G62" i="1"/>
  <c r="O71" i="1"/>
  <c r="O69" i="1"/>
  <c r="E21" i="1" l="1"/>
  <c r="B18" i="7" l="1"/>
  <c r="B17" i="7"/>
  <c r="B16" i="7"/>
  <c r="B15" i="7"/>
  <c r="B14" i="7"/>
  <c r="B13" i="7"/>
  <c r="B12" i="7"/>
  <c r="B11" i="7"/>
  <c r="B10" i="7"/>
  <c r="B9" i="7"/>
  <c r="B8" i="7"/>
  <c r="B7" i="7"/>
  <c r="B6" i="7"/>
  <c r="B5" i="7"/>
  <c r="B4" i="7"/>
  <c r="B3" i="7"/>
  <c r="B2" i="7"/>
  <c r="P105" i="1" l="1"/>
  <c r="F57" i="1" s="1"/>
  <c r="H12" i="8"/>
  <c r="J12" i="8" s="1"/>
  <c r="H11" i="8"/>
  <c r="J11" i="8" s="1"/>
  <c r="H10" i="8"/>
  <c r="J10" i="8" s="1"/>
  <c r="H9" i="8"/>
  <c r="H8" i="8"/>
  <c r="H7" i="8"/>
  <c r="O70" i="1" l="1"/>
  <c r="O82" i="1" l="1"/>
  <c r="O77" i="1"/>
  <c r="M25" i="8" l="1"/>
  <c r="J26" i="8"/>
  <c r="M26" i="8"/>
  <c r="J92" i="8"/>
  <c r="M92" i="8"/>
  <c r="M93" i="8"/>
  <c r="J94" i="8"/>
  <c r="M94" i="8"/>
  <c r="J95" i="8"/>
  <c r="M95" i="8"/>
  <c r="J96" i="8"/>
  <c r="M96" i="8"/>
  <c r="J97" i="8"/>
  <c r="K97" i="8"/>
  <c r="M97" i="8"/>
  <c r="J98" i="8"/>
  <c r="M98" i="8"/>
  <c r="J99" i="8"/>
  <c r="M99" i="8"/>
  <c r="J100" i="8"/>
  <c r="M100" i="8"/>
  <c r="J101" i="8"/>
  <c r="M101" i="8"/>
  <c r="J102" i="8"/>
  <c r="M102" i="8"/>
  <c r="J103" i="8"/>
  <c r="M103" i="8"/>
  <c r="J104" i="8"/>
  <c r="M104" i="8"/>
  <c r="J105" i="8"/>
  <c r="M105" i="8"/>
  <c r="J106" i="8"/>
  <c r="M106" i="8"/>
  <c r="J107" i="8"/>
  <c r="M107" i="8"/>
  <c r="J108" i="8"/>
  <c r="M108" i="8"/>
  <c r="J109" i="8"/>
  <c r="M109" i="8"/>
  <c r="J110" i="8"/>
  <c r="M110" i="8"/>
  <c r="J111" i="8"/>
  <c r="M111" i="8"/>
  <c r="J112" i="8"/>
  <c r="M112" i="8"/>
  <c r="J113" i="8"/>
  <c r="M113" i="8"/>
  <c r="J114" i="8"/>
  <c r="M114" i="8"/>
  <c r="J115" i="8"/>
  <c r="M115" i="8"/>
  <c r="J116" i="8"/>
  <c r="M116" i="8"/>
  <c r="J117" i="8"/>
  <c r="M117" i="8"/>
  <c r="J118" i="8"/>
  <c r="M118" i="8"/>
  <c r="J119" i="8"/>
  <c r="M119" i="8"/>
  <c r="J120" i="8"/>
  <c r="M120" i="8"/>
  <c r="J121" i="8"/>
  <c r="M121" i="8"/>
  <c r="J122" i="8"/>
  <c r="M122" i="8"/>
  <c r="M24" i="8"/>
  <c r="M23" i="8"/>
  <c r="G90" i="8" l="1"/>
  <c r="G88" i="8"/>
  <c r="G105" i="8"/>
  <c r="G97" i="8"/>
  <c r="G117" i="8"/>
  <c r="K105" i="8"/>
  <c r="K117" i="8"/>
  <c r="K113" i="8"/>
  <c r="G113" i="8" s="1"/>
  <c r="K23" i="8"/>
  <c r="K24" i="8"/>
  <c r="J24" i="8"/>
  <c r="K93" i="8"/>
  <c r="J93" i="8"/>
  <c r="G89" i="8"/>
  <c r="K121" i="8"/>
  <c r="G121" i="8" s="1"/>
  <c r="K101" i="8"/>
  <c r="G101" i="8" s="1"/>
  <c r="K94" i="8"/>
  <c r="G94" i="8" s="1"/>
  <c r="G87" i="8"/>
  <c r="K25" i="8"/>
  <c r="J25" i="8"/>
  <c r="G25" i="8" s="1"/>
  <c r="K109" i="8"/>
  <c r="G109" i="8" s="1"/>
  <c r="K26" i="8"/>
  <c r="G26" i="8" s="1"/>
  <c r="K119" i="8"/>
  <c r="G119" i="8" s="1"/>
  <c r="K115" i="8"/>
  <c r="G115" i="8" s="1"/>
  <c r="K111" i="8"/>
  <c r="G111" i="8" s="1"/>
  <c r="K107" i="8"/>
  <c r="G107" i="8" s="1"/>
  <c r="K103" i="8"/>
  <c r="G103" i="8" s="1"/>
  <c r="K99" i="8"/>
  <c r="G99" i="8" s="1"/>
  <c r="K95" i="8"/>
  <c r="G95" i="8" s="1"/>
  <c r="K92" i="8"/>
  <c r="G92" i="8" s="1"/>
  <c r="K120" i="8"/>
  <c r="G120" i="8" s="1"/>
  <c r="K116" i="8"/>
  <c r="G116" i="8" s="1"/>
  <c r="K112" i="8"/>
  <c r="G112" i="8" s="1"/>
  <c r="K108" i="8"/>
  <c r="G108" i="8" s="1"/>
  <c r="K104" i="8"/>
  <c r="G104" i="8" s="1"/>
  <c r="K102" i="8"/>
  <c r="G102" i="8" s="1"/>
  <c r="K98" i="8"/>
  <c r="G98" i="8" s="1"/>
  <c r="K122" i="8"/>
  <c r="G122" i="8" s="1"/>
  <c r="K118" i="8"/>
  <c r="G118" i="8" s="1"/>
  <c r="K114" i="8"/>
  <c r="G114" i="8" s="1"/>
  <c r="K110" i="8"/>
  <c r="G110" i="8" s="1"/>
  <c r="K106" i="8"/>
  <c r="G106" i="8" s="1"/>
  <c r="K100" i="8"/>
  <c r="G100" i="8" s="1"/>
  <c r="K96" i="8"/>
  <c r="G96" i="8" s="1"/>
  <c r="M10" i="8"/>
  <c r="J9" i="8"/>
  <c r="J23" i="8"/>
  <c r="G24" i="8" l="1"/>
  <c r="G91" i="8"/>
  <c r="G93" i="8"/>
  <c r="G23" i="8"/>
  <c r="K9" i="8"/>
  <c r="K124" i="8"/>
  <c r="J124" i="8"/>
  <c r="K10" i="8"/>
  <c r="G10" i="8" s="1"/>
  <c r="M8" i="8"/>
  <c r="M11" i="8"/>
  <c r="M12" i="8"/>
  <c r="M7" i="8"/>
  <c r="J8" i="8"/>
  <c r="J7" i="8"/>
  <c r="G9" i="8" l="1"/>
  <c r="K8" i="8"/>
  <c r="L125" i="8"/>
  <c r="G125" i="8" s="1"/>
  <c r="L124" i="8"/>
  <c r="G124" i="8" s="1"/>
  <c r="K11" i="8"/>
  <c r="G11" i="8" s="1"/>
  <c r="K12" i="8"/>
  <c r="G12" i="8" s="1"/>
  <c r="K7" i="8"/>
  <c r="O5" i="8"/>
  <c r="A1" i="8"/>
  <c r="L27" i="8" l="1"/>
  <c r="L29" i="8"/>
  <c r="L31" i="8"/>
  <c r="L33" i="8"/>
  <c r="L35" i="8"/>
  <c r="L37" i="8"/>
  <c r="L39" i="8"/>
  <c r="L41" i="8"/>
  <c r="L43" i="8"/>
  <c r="L45" i="8"/>
  <c r="L47" i="8"/>
  <c r="L49" i="8"/>
  <c r="L51" i="8"/>
  <c r="L53" i="8"/>
  <c r="L55" i="8"/>
  <c r="L57" i="8"/>
  <c r="L59" i="8"/>
  <c r="L61" i="8"/>
  <c r="L63" i="8"/>
  <c r="L65" i="8"/>
  <c r="L67" i="8"/>
  <c r="L69" i="8"/>
  <c r="L71" i="8"/>
  <c r="L73" i="8"/>
  <c r="L75" i="8"/>
  <c r="L77" i="8"/>
  <c r="L79" i="8"/>
  <c r="L81" i="8"/>
  <c r="L83" i="8"/>
  <c r="L85" i="8"/>
  <c r="L87" i="8"/>
  <c r="L89" i="8"/>
  <c r="L91" i="8"/>
  <c r="L56" i="8"/>
  <c r="L76" i="8"/>
  <c r="L82" i="8"/>
  <c r="L86" i="8"/>
  <c r="L90" i="8"/>
  <c r="L28" i="8"/>
  <c r="L30" i="8"/>
  <c r="L32" i="8"/>
  <c r="L34" i="8"/>
  <c r="L36" i="8"/>
  <c r="L38" i="8"/>
  <c r="L40" i="8"/>
  <c r="L42" i="8"/>
  <c r="L44" i="8"/>
  <c r="L46" i="8"/>
  <c r="L48" i="8"/>
  <c r="L50" i="8"/>
  <c r="L52" i="8"/>
  <c r="L54" i="8"/>
  <c r="L58" i="8"/>
  <c r="L60" i="8"/>
  <c r="L62" i="8"/>
  <c r="L64" i="8"/>
  <c r="L66" i="8"/>
  <c r="L68" i="8"/>
  <c r="L70" i="8"/>
  <c r="L72" i="8"/>
  <c r="L74" i="8"/>
  <c r="L78" i="8"/>
  <c r="L80" i="8"/>
  <c r="L84" i="8"/>
  <c r="L88" i="8"/>
  <c r="G8" i="8"/>
  <c r="L25" i="8"/>
  <c r="L93" i="8"/>
  <c r="L94" i="8"/>
  <c r="L96" i="8"/>
  <c r="L98" i="8"/>
  <c r="L100" i="8"/>
  <c r="L104" i="8"/>
  <c r="L110" i="8"/>
  <c r="L114" i="8"/>
  <c r="L118" i="8"/>
  <c r="L26" i="8"/>
  <c r="L92" i="8"/>
  <c r="L95" i="8"/>
  <c r="L97" i="8"/>
  <c r="L99" i="8"/>
  <c r="L101" i="8"/>
  <c r="L103" i="8"/>
  <c r="L105" i="8"/>
  <c r="L107" i="8"/>
  <c r="L109" i="8"/>
  <c r="L111" i="8"/>
  <c r="L113" i="8"/>
  <c r="L115" i="8"/>
  <c r="L117" i="8"/>
  <c r="L119" i="8"/>
  <c r="L121" i="8"/>
  <c r="L102" i="8"/>
  <c r="L106" i="8"/>
  <c r="L108" i="8"/>
  <c r="L112" i="8"/>
  <c r="L116" i="8"/>
  <c r="L120" i="8"/>
  <c r="L122" i="8"/>
  <c r="L24" i="8"/>
  <c r="L23" i="8"/>
  <c r="L9" i="8"/>
  <c r="L10" i="8"/>
  <c r="G7" i="8"/>
  <c r="O6" i="8"/>
  <c r="L7" i="8"/>
  <c r="L11" i="8"/>
  <c r="L12" i="8"/>
  <c r="L8" i="8"/>
  <c r="O86" i="1"/>
  <c r="O85" i="1"/>
  <c r="I66" i="6"/>
  <c r="J66" i="6"/>
  <c r="I67" i="6"/>
  <c r="J67" i="6"/>
  <c r="I68" i="6"/>
  <c r="J68" i="6"/>
  <c r="I69" i="6"/>
  <c r="J69" i="6"/>
  <c r="I70" i="6"/>
  <c r="J70" i="6"/>
  <c r="I71" i="6"/>
  <c r="J71" i="6"/>
  <c r="I72" i="6"/>
  <c r="J72" i="6"/>
  <c r="I73" i="6"/>
  <c r="J73" i="6"/>
  <c r="I74" i="6"/>
  <c r="J74" i="6"/>
  <c r="I75" i="6"/>
  <c r="J75" i="6"/>
  <c r="I76" i="6"/>
  <c r="J76" i="6"/>
  <c r="I77" i="6"/>
  <c r="J77" i="6"/>
  <c r="I78" i="6"/>
  <c r="J78" i="6"/>
  <c r="I79" i="6"/>
  <c r="J79" i="6"/>
  <c r="I80" i="6"/>
  <c r="J80" i="6"/>
  <c r="I81" i="6"/>
  <c r="J81" i="6"/>
  <c r="I82" i="6"/>
  <c r="J82" i="6"/>
  <c r="I83" i="6"/>
  <c r="J83" i="6"/>
  <c r="I84" i="6"/>
  <c r="J84" i="6"/>
  <c r="I85" i="6"/>
  <c r="J85" i="6"/>
  <c r="I86" i="6"/>
  <c r="J86" i="6"/>
  <c r="I87" i="6"/>
  <c r="J87" i="6"/>
  <c r="I88" i="6"/>
  <c r="J88" i="6"/>
  <c r="I89" i="6"/>
  <c r="J89" i="6"/>
  <c r="I90" i="6"/>
  <c r="J90" i="6"/>
  <c r="I91" i="6"/>
  <c r="J91" i="6"/>
  <c r="I92" i="6"/>
  <c r="J92" i="6"/>
  <c r="I93" i="6"/>
  <c r="J93" i="6"/>
  <c r="L90" i="6" l="1"/>
  <c r="M90" i="6"/>
  <c r="M86" i="6"/>
  <c r="L86" i="6"/>
  <c r="L82" i="6"/>
  <c r="M82" i="6"/>
  <c r="L80" i="6"/>
  <c r="M80" i="6"/>
  <c r="L76" i="6"/>
  <c r="M76" i="6"/>
  <c r="L74" i="6"/>
  <c r="M74" i="6"/>
  <c r="L72" i="6"/>
  <c r="M72" i="6"/>
  <c r="L70" i="6"/>
  <c r="M70" i="6"/>
  <c r="L68" i="6"/>
  <c r="M68" i="6"/>
  <c r="L66" i="6"/>
  <c r="M66" i="6"/>
  <c r="L89" i="6"/>
  <c r="M89" i="6"/>
  <c r="L83" i="6"/>
  <c r="M83" i="6"/>
  <c r="L77" i="6"/>
  <c r="M77" i="6"/>
  <c r="L67" i="6"/>
  <c r="M67" i="6"/>
  <c r="L92" i="6"/>
  <c r="M92" i="6"/>
  <c r="L91" i="6"/>
  <c r="M91" i="6"/>
  <c r="L87" i="6"/>
  <c r="M87" i="6"/>
  <c r="L85" i="6"/>
  <c r="M85" i="6"/>
  <c r="L81" i="6"/>
  <c r="M81" i="6"/>
  <c r="L79" i="6"/>
  <c r="M79" i="6"/>
  <c r="L75" i="6"/>
  <c r="M75" i="6"/>
  <c r="L73" i="6"/>
  <c r="M73" i="6"/>
  <c r="L71" i="6"/>
  <c r="M71" i="6"/>
  <c r="L69" i="6"/>
  <c r="M69" i="6"/>
  <c r="L88" i="6"/>
  <c r="M88" i="6"/>
  <c r="L84" i="6"/>
  <c r="M84" i="6"/>
  <c r="L78" i="6"/>
  <c r="M78" i="6"/>
  <c r="K14" i="8"/>
  <c r="J14" i="8"/>
  <c r="L15" i="8" l="1"/>
  <c r="G15" i="8" s="1"/>
  <c r="AG70" i="1" s="1"/>
  <c r="L14" i="8"/>
  <c r="G14" i="8" s="1"/>
  <c r="AG69" i="1" s="1"/>
  <c r="AJ69" i="1" s="1"/>
  <c r="C13" i="5"/>
  <c r="P12" i="1"/>
  <c r="AF27" i="1" l="1"/>
  <c r="AI27" i="1" s="1"/>
  <c r="AJ70" i="1"/>
  <c r="D13" i="5"/>
  <c r="F13" i="5"/>
  <c r="I46" i="6"/>
  <c r="I47" i="6"/>
  <c r="I48" i="6"/>
  <c r="I49" i="6"/>
  <c r="I50" i="6"/>
  <c r="I51" i="6"/>
  <c r="I52" i="6"/>
  <c r="I53" i="6"/>
  <c r="I54" i="6"/>
  <c r="I55" i="6"/>
  <c r="I56" i="6"/>
  <c r="I57" i="6"/>
  <c r="I58" i="6"/>
  <c r="I59" i="6"/>
  <c r="I60" i="6"/>
  <c r="I61" i="6"/>
  <c r="I62" i="6"/>
  <c r="I63" i="6"/>
  <c r="I64" i="6"/>
  <c r="I65"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7" i="6"/>
  <c r="O72" i="1" l="1"/>
  <c r="J53" i="6"/>
  <c r="L53" i="6" s="1"/>
  <c r="J54" i="6"/>
  <c r="L54" i="6" s="1"/>
  <c r="J55" i="6"/>
  <c r="L55" i="6" s="1"/>
  <c r="J56" i="6"/>
  <c r="L56" i="6" s="1"/>
  <c r="J57" i="6"/>
  <c r="L57" i="6" s="1"/>
  <c r="J58" i="6"/>
  <c r="L58" i="6" s="1"/>
  <c r="J59" i="6"/>
  <c r="L59" i="6" s="1"/>
  <c r="J94" i="6"/>
  <c r="L94" i="6" s="1"/>
  <c r="J95" i="6"/>
  <c r="L95" i="6" s="1"/>
  <c r="J96" i="6"/>
  <c r="L96" i="6" s="1"/>
  <c r="J97" i="6"/>
  <c r="L97" i="6" s="1"/>
  <c r="J98" i="6"/>
  <c r="L98" i="6" s="1"/>
  <c r="J99" i="6"/>
  <c r="L99" i="6" s="1"/>
  <c r="J100" i="6"/>
  <c r="L100" i="6" s="1"/>
  <c r="J101" i="6"/>
  <c r="L101" i="6" s="1"/>
  <c r="J102" i="6"/>
  <c r="L102" i="6" s="1"/>
  <c r="J103" i="6"/>
  <c r="L103" i="6" s="1"/>
  <c r="J104" i="6"/>
  <c r="L104" i="6" s="1"/>
  <c r="J105" i="6"/>
  <c r="L105" i="6" s="1"/>
  <c r="J106" i="6"/>
  <c r="L106" i="6" s="1"/>
  <c r="J107" i="6"/>
  <c r="L107" i="6" s="1"/>
  <c r="J108" i="6"/>
  <c r="L108" i="6" s="1"/>
  <c r="J109" i="6"/>
  <c r="L109" i="6" s="1"/>
  <c r="J110" i="6"/>
  <c r="L110" i="6" s="1"/>
  <c r="J111" i="6"/>
  <c r="L111" i="6" s="1"/>
  <c r="J119" i="6"/>
  <c r="L119" i="6" s="1"/>
  <c r="J120" i="6"/>
  <c r="L120" i="6" s="1"/>
  <c r="J121" i="6"/>
  <c r="L121" i="6" s="1"/>
  <c r="J122" i="6"/>
  <c r="L122" i="6" s="1"/>
  <c r="J123" i="6"/>
  <c r="L123" i="6" s="1"/>
  <c r="J124" i="6"/>
  <c r="L124" i="6" s="1"/>
  <c r="J125" i="6"/>
  <c r="L125" i="6" s="1"/>
  <c r="J126" i="6"/>
  <c r="L126" i="6" s="1"/>
  <c r="J127" i="6"/>
  <c r="L127" i="6" s="1"/>
  <c r="J128" i="6"/>
  <c r="L128" i="6" s="1"/>
  <c r="J129" i="6"/>
  <c r="L129" i="6" s="1"/>
  <c r="J130" i="6"/>
  <c r="L130" i="6" s="1"/>
  <c r="J131" i="6"/>
  <c r="L131" i="6" s="1"/>
  <c r="J132" i="6"/>
  <c r="L132" i="6" s="1"/>
  <c r="J133" i="6"/>
  <c r="L133" i="6" s="1"/>
  <c r="J134" i="6"/>
  <c r="L134" i="6" s="1"/>
  <c r="J135" i="6"/>
  <c r="L135" i="6" s="1"/>
  <c r="J136" i="6"/>
  <c r="L136" i="6" s="1"/>
  <c r="J137" i="6"/>
  <c r="L137" i="6" s="1"/>
  <c r="J138" i="6"/>
  <c r="L138" i="6" s="1"/>
  <c r="J139" i="6"/>
  <c r="L139" i="6" s="1"/>
  <c r="J140" i="6"/>
  <c r="L140" i="6" s="1"/>
  <c r="J141" i="6"/>
  <c r="L141" i="6" s="1"/>
  <c r="B11" i="4"/>
  <c r="E11" i="4"/>
  <c r="E27" i="4"/>
  <c r="E28" i="4"/>
  <c r="E20" i="4"/>
  <c r="B24" i="4"/>
  <c r="B20" i="4"/>
  <c r="C11" i="4"/>
  <c r="D11" i="4"/>
  <c r="D15" i="4"/>
  <c r="F11" i="4"/>
  <c r="G11" i="4"/>
  <c r="H11" i="4"/>
  <c r="C20" i="4"/>
  <c r="D20" i="4"/>
  <c r="F20" i="4"/>
  <c r="G20" i="4"/>
  <c r="H20" i="4"/>
  <c r="I20" i="4"/>
  <c r="J20" i="4"/>
  <c r="K20" i="4"/>
  <c r="L20" i="4"/>
  <c r="I11" i="4"/>
  <c r="J11" i="4"/>
  <c r="K11" i="4"/>
  <c r="L11" i="4"/>
  <c r="M11" i="4"/>
  <c r="N30" i="4"/>
  <c r="Q43" i="4" s="1"/>
  <c r="D27" i="4"/>
  <c r="D21" i="1"/>
  <c r="F21" i="1"/>
  <c r="G21" i="1"/>
  <c r="H21" i="1"/>
  <c r="M21" i="1"/>
  <c r="N21" i="1"/>
  <c r="O21" i="1"/>
  <c r="D41" i="1"/>
  <c r="D99" i="1"/>
  <c r="AF51" i="1"/>
  <c r="D98" i="1"/>
  <c r="E99" i="1"/>
  <c r="E98" i="1"/>
  <c r="F99" i="1"/>
  <c r="F98" i="1"/>
  <c r="G99" i="1"/>
  <c r="G98" i="1"/>
  <c r="H99" i="1"/>
  <c r="H98" i="1"/>
  <c r="I99" i="1"/>
  <c r="I98" i="1"/>
  <c r="J99" i="1"/>
  <c r="J98" i="1"/>
  <c r="K99" i="1"/>
  <c r="K98" i="1"/>
  <c r="L99" i="1"/>
  <c r="L98" i="1"/>
  <c r="M99" i="1"/>
  <c r="M98" i="1"/>
  <c r="N99" i="1"/>
  <c r="N98" i="1"/>
  <c r="D101" i="1"/>
  <c r="P101" i="1" s="1"/>
  <c r="B27" i="4"/>
  <c r="C27" i="4"/>
  <c r="F27" i="4"/>
  <c r="G27" i="4"/>
  <c r="H27" i="4"/>
  <c r="I27" i="4"/>
  <c r="J27" i="4"/>
  <c r="K27" i="4"/>
  <c r="L27" i="4"/>
  <c r="B28" i="4"/>
  <c r="C28" i="4"/>
  <c r="D28" i="4"/>
  <c r="F28" i="4"/>
  <c r="G28" i="4"/>
  <c r="H28" i="4"/>
  <c r="I28" i="4"/>
  <c r="J28" i="4"/>
  <c r="K28" i="4"/>
  <c r="L28" i="4"/>
  <c r="P22" i="1"/>
  <c r="T22" i="1" s="1"/>
  <c r="F54" i="1" s="1"/>
  <c r="D47" i="1"/>
  <c r="D104" i="1" s="1"/>
  <c r="D100" i="1" s="1"/>
  <c r="E47" i="1"/>
  <c r="E104" i="1" s="1"/>
  <c r="E100" i="1" s="1"/>
  <c r="F47" i="1"/>
  <c r="F104" i="1" s="1"/>
  <c r="F100" i="1" s="1"/>
  <c r="G47" i="1"/>
  <c r="G104" i="1" s="1"/>
  <c r="G100" i="1" s="1"/>
  <c r="H47" i="1"/>
  <c r="H104" i="1" s="1"/>
  <c r="H100" i="1" s="1"/>
  <c r="I47" i="1"/>
  <c r="I104" i="1" s="1"/>
  <c r="I100" i="1" s="1"/>
  <c r="J47" i="1"/>
  <c r="J104" i="1" s="1"/>
  <c r="J100" i="1" s="1"/>
  <c r="K47" i="1"/>
  <c r="K104" i="1" s="1"/>
  <c r="K100" i="1" s="1"/>
  <c r="L47" i="1"/>
  <c r="L104" i="1" s="1"/>
  <c r="L100" i="1" s="1"/>
  <c r="M47" i="1"/>
  <c r="M104" i="1" s="1"/>
  <c r="M100" i="1" s="1"/>
  <c r="N47" i="1"/>
  <c r="N104" i="1" s="1"/>
  <c r="N100" i="1" s="1"/>
  <c r="O47" i="1"/>
  <c r="O104" i="1" s="1"/>
  <c r="O100" i="1" s="1"/>
  <c r="P3" i="1"/>
  <c r="T3" i="1" s="1"/>
  <c r="P4" i="1"/>
  <c r="T4" i="1" s="1"/>
  <c r="AB52" i="1"/>
  <c r="P26" i="1"/>
  <c r="V26" i="1" s="1"/>
  <c r="P6" i="1"/>
  <c r="T6" i="1" s="1"/>
  <c r="P8" i="1"/>
  <c r="T8" i="1" s="1"/>
  <c r="P7" i="1"/>
  <c r="T7" i="1" s="1"/>
  <c r="O54" i="1" s="1"/>
  <c r="P9" i="1"/>
  <c r="T9" i="1" s="1"/>
  <c r="O55" i="1" s="1"/>
  <c r="O99" i="1"/>
  <c r="O98" i="1"/>
  <c r="P27" i="1"/>
  <c r="T27" i="1" s="1"/>
  <c r="O87" i="1" s="1"/>
  <c r="AH56" i="1"/>
  <c r="J153" i="6"/>
  <c r="L153" i="6" s="1"/>
  <c r="J143" i="6"/>
  <c r="L143" i="6" s="1"/>
  <c r="Q5" i="6"/>
  <c r="J144" i="6"/>
  <c r="L144" i="6" s="1"/>
  <c r="J145" i="6"/>
  <c r="L145" i="6" s="1"/>
  <c r="J146" i="6"/>
  <c r="L146" i="6" s="1"/>
  <c r="J147" i="6"/>
  <c r="L147" i="6" s="1"/>
  <c r="J148" i="6"/>
  <c r="L148" i="6" s="1"/>
  <c r="J149" i="6"/>
  <c r="L149" i="6" s="1"/>
  <c r="J150" i="6"/>
  <c r="L150" i="6" s="1"/>
  <c r="J151" i="6"/>
  <c r="L151" i="6" s="1"/>
  <c r="J152" i="6"/>
  <c r="L152" i="6" s="1"/>
  <c r="J142" i="6"/>
  <c r="L142" i="6" s="1"/>
  <c r="J7" i="6"/>
  <c r="L7" i="6" s="1"/>
  <c r="J8" i="6"/>
  <c r="L8" i="6" s="1"/>
  <c r="J9" i="6"/>
  <c r="M9" i="6" s="1"/>
  <c r="J10" i="6"/>
  <c r="L10" i="6" s="1"/>
  <c r="L11" i="6"/>
  <c r="M44" i="6"/>
  <c r="M45" i="6"/>
  <c r="J46" i="6"/>
  <c r="L46" i="6" s="1"/>
  <c r="J47" i="6"/>
  <c r="L47" i="6" s="1"/>
  <c r="J48" i="6"/>
  <c r="L48" i="6" s="1"/>
  <c r="J49" i="6"/>
  <c r="L49" i="6" s="1"/>
  <c r="J50" i="6"/>
  <c r="L50" i="6" s="1"/>
  <c r="J51" i="6"/>
  <c r="L51" i="6" s="1"/>
  <c r="J52" i="6"/>
  <c r="L52" i="6" s="1"/>
  <c r="J60" i="6"/>
  <c r="L60" i="6" s="1"/>
  <c r="J61" i="6"/>
  <c r="L61" i="6" s="1"/>
  <c r="J62" i="6"/>
  <c r="L62" i="6" s="1"/>
  <c r="J63" i="6"/>
  <c r="L63" i="6" s="1"/>
  <c r="J64" i="6"/>
  <c r="L64" i="6" s="1"/>
  <c r="J65" i="6"/>
  <c r="L93" i="6"/>
  <c r="J112" i="6"/>
  <c r="L112" i="6" s="1"/>
  <c r="J113" i="6"/>
  <c r="L113" i="6" s="1"/>
  <c r="J114" i="6"/>
  <c r="L114" i="6" s="1"/>
  <c r="J115" i="6"/>
  <c r="L115" i="6" s="1"/>
  <c r="J116" i="6"/>
  <c r="L116" i="6" s="1"/>
  <c r="J117" i="6"/>
  <c r="L117" i="6" s="1"/>
  <c r="J118" i="6"/>
  <c r="L118" i="6" s="1"/>
  <c r="J154" i="6"/>
  <c r="L154" i="6" s="1"/>
  <c r="J155" i="6"/>
  <c r="L155" i="6" s="1"/>
  <c r="J156" i="6"/>
  <c r="L156" i="6" s="1"/>
  <c r="A1" i="6"/>
  <c r="P25" i="1"/>
  <c r="T25" i="1" s="1"/>
  <c r="G78" i="1" s="1"/>
  <c r="A16" i="5"/>
  <c r="A1" i="4"/>
  <c r="AH57" i="1"/>
  <c r="P9" i="4"/>
  <c r="P16" i="4" s="1"/>
  <c r="A207" i="10" s="1"/>
  <c r="B15" i="4"/>
  <c r="C15" i="4"/>
  <c r="E15" i="4"/>
  <c r="F15" i="4"/>
  <c r="G15" i="4"/>
  <c r="H15" i="4"/>
  <c r="I15" i="4"/>
  <c r="J15" i="4"/>
  <c r="K15" i="4"/>
  <c r="L15" i="4"/>
  <c r="C24" i="4"/>
  <c r="D24" i="4"/>
  <c r="E24" i="4"/>
  <c r="F24" i="4"/>
  <c r="G24" i="4"/>
  <c r="H24" i="4"/>
  <c r="I24" i="4"/>
  <c r="J24" i="4"/>
  <c r="K24" i="4"/>
  <c r="L24" i="4"/>
  <c r="B43" i="1"/>
  <c r="P31" i="1"/>
  <c r="T31" i="1" s="1"/>
  <c r="P16" i="1"/>
  <c r="T16" i="1" s="1"/>
  <c r="A1" i="1"/>
  <c r="P15" i="1"/>
  <c r="T15" i="1" s="1"/>
  <c r="P40" i="1"/>
  <c r="P28" i="1"/>
  <c r="T28" i="1" s="1"/>
  <c r="P29" i="1"/>
  <c r="T29" i="1" s="1"/>
  <c r="P30" i="1"/>
  <c r="T30" i="1" s="1"/>
  <c r="P32" i="1"/>
  <c r="T32" i="1" s="1"/>
  <c r="P33" i="1"/>
  <c r="T33" i="1" s="1"/>
  <c r="P34" i="1"/>
  <c r="T34" i="1" s="1"/>
  <c r="P35" i="1"/>
  <c r="T35" i="1" s="1"/>
  <c r="P36" i="1"/>
  <c r="T36" i="1" s="1"/>
  <c r="P20" i="1"/>
  <c r="T20" i="1" s="1"/>
  <c r="P19" i="1"/>
  <c r="T19" i="1" s="1"/>
  <c r="P18" i="1"/>
  <c r="T18" i="1" s="1"/>
  <c r="P17" i="1"/>
  <c r="T17" i="1" s="1"/>
  <c r="P14" i="1"/>
  <c r="T14" i="1" s="1"/>
  <c r="P13" i="1"/>
  <c r="T13" i="1" s="1"/>
  <c r="T12" i="1"/>
  <c r="P11" i="1"/>
  <c r="T11" i="1" s="1"/>
  <c r="P10" i="1"/>
  <c r="T10" i="1" s="1"/>
  <c r="O56" i="1" s="1"/>
  <c r="P5" i="1"/>
  <c r="T5" i="1" s="1"/>
  <c r="M150" i="6"/>
  <c r="M143" i="6"/>
  <c r="M139" i="6"/>
  <c r="M135" i="6"/>
  <c r="M131" i="6"/>
  <c r="M127" i="6"/>
  <c r="M123" i="6"/>
  <c r="M119" i="6"/>
  <c r="M116" i="6"/>
  <c r="M105" i="6"/>
  <c r="M104" i="6"/>
  <c r="M100" i="6"/>
  <c r="M99" i="6"/>
  <c r="M96" i="6"/>
  <c r="M64" i="6"/>
  <c r="M54" i="6"/>
  <c r="M49" i="6"/>
  <c r="N144" i="6" l="1"/>
  <c r="N14" i="6"/>
  <c r="N22" i="6"/>
  <c r="N38" i="6"/>
  <c r="N17" i="6"/>
  <c r="N12" i="6"/>
  <c r="N20" i="6"/>
  <c r="N28" i="6"/>
  <c r="N36" i="6"/>
  <c r="N15" i="6"/>
  <c r="N23" i="6"/>
  <c r="N31" i="6"/>
  <c r="N39" i="6"/>
  <c r="N42" i="6"/>
  <c r="N13" i="6"/>
  <c r="N21" i="6"/>
  <c r="N29" i="6"/>
  <c r="N37" i="6"/>
  <c r="N18" i="6"/>
  <c r="N26" i="6"/>
  <c r="N34" i="6"/>
  <c r="N16" i="6"/>
  <c r="N24" i="6"/>
  <c r="N32" i="6"/>
  <c r="N40" i="6"/>
  <c r="N19" i="6"/>
  <c r="N27" i="6"/>
  <c r="N35" i="6"/>
  <c r="N43" i="6"/>
  <c r="N30" i="6"/>
  <c r="N25" i="6"/>
  <c r="N33" i="6"/>
  <c r="N41" i="6"/>
  <c r="L45" i="6"/>
  <c r="M146" i="6"/>
  <c r="M60" i="6"/>
  <c r="AF40" i="1"/>
  <c r="R43" i="4"/>
  <c r="O88" i="1"/>
  <c r="G66" i="1" s="1"/>
  <c r="M115" i="6"/>
  <c r="M11" i="6"/>
  <c r="M103" i="6"/>
  <c r="M95" i="6"/>
  <c r="M8" i="6"/>
  <c r="M53" i="6"/>
  <c r="M107" i="6"/>
  <c r="M147" i="6"/>
  <c r="M111" i="6"/>
  <c r="M57" i="6"/>
  <c r="M151" i="6"/>
  <c r="U43" i="4"/>
  <c r="F43" i="4" s="1"/>
  <c r="Z30" i="4"/>
  <c r="K30" i="4" s="1"/>
  <c r="N119" i="6"/>
  <c r="N151" i="6"/>
  <c r="N59" i="6"/>
  <c r="N62" i="6"/>
  <c r="U30" i="4"/>
  <c r="F30" i="4" s="1"/>
  <c r="A98" i="9"/>
  <c r="A57" i="4"/>
  <c r="A126" i="8"/>
  <c r="A90" i="1"/>
  <c r="A74" i="5"/>
  <c r="A161" i="6"/>
  <c r="N122" i="6"/>
  <c r="R30" i="4"/>
  <c r="C30" i="4" s="1"/>
  <c r="O81" i="1"/>
  <c r="N95" i="6"/>
  <c r="N127" i="6"/>
  <c r="N8" i="6"/>
  <c r="N98" i="6"/>
  <c r="N130" i="6"/>
  <c r="N103" i="6"/>
  <c r="N135" i="6"/>
  <c r="N46" i="6"/>
  <c r="N106" i="6"/>
  <c r="N138" i="6"/>
  <c r="N51" i="6"/>
  <c r="N111" i="6"/>
  <c r="N143" i="6"/>
  <c r="N54" i="6"/>
  <c r="N114" i="6"/>
  <c r="N146" i="6"/>
  <c r="L65" i="6"/>
  <c r="M65" i="6"/>
  <c r="K23" i="1"/>
  <c r="L23" i="1"/>
  <c r="M23" i="1"/>
  <c r="I23" i="1"/>
  <c r="O23" i="1"/>
  <c r="N23" i="1"/>
  <c r="J23" i="1"/>
  <c r="N110" i="6"/>
  <c r="N45" i="6"/>
  <c r="N53" i="6"/>
  <c r="N61" i="6"/>
  <c r="N97" i="6"/>
  <c r="N105" i="6"/>
  <c r="N113" i="6"/>
  <c r="N121" i="6"/>
  <c r="N129" i="6"/>
  <c r="N137" i="6"/>
  <c r="N145" i="6"/>
  <c r="N153" i="6"/>
  <c r="N10" i="6"/>
  <c r="N48" i="6"/>
  <c r="N56" i="6"/>
  <c r="N64" i="6"/>
  <c r="N100" i="6"/>
  <c r="N108" i="6"/>
  <c r="N116" i="6"/>
  <c r="N124" i="6"/>
  <c r="N132" i="6"/>
  <c r="N140" i="6"/>
  <c r="N148" i="6"/>
  <c r="N47" i="6"/>
  <c r="N55" i="6"/>
  <c r="N63" i="6"/>
  <c r="N99" i="6"/>
  <c r="N107" i="6"/>
  <c r="N115" i="6"/>
  <c r="N123" i="6"/>
  <c r="N131" i="6"/>
  <c r="N139" i="6"/>
  <c r="N147" i="6"/>
  <c r="N155" i="6"/>
  <c r="N50" i="6"/>
  <c r="N58" i="6"/>
  <c r="N94" i="6"/>
  <c r="N102" i="6"/>
  <c r="N118" i="6"/>
  <c r="N126" i="6"/>
  <c r="N134" i="6"/>
  <c r="N142" i="6"/>
  <c r="N152" i="6"/>
  <c r="Y30" i="4"/>
  <c r="J30" i="4" s="1"/>
  <c r="Z43" i="4"/>
  <c r="K43" i="4" s="1"/>
  <c r="N11" i="6"/>
  <c r="N49" i="6"/>
  <c r="N57" i="6"/>
  <c r="N93" i="6"/>
  <c r="N101" i="6"/>
  <c r="N109" i="6"/>
  <c r="N117" i="6"/>
  <c r="N125" i="6"/>
  <c r="N133" i="6"/>
  <c r="N141" i="6"/>
  <c r="N149" i="6"/>
  <c r="N7" i="6"/>
  <c r="N44" i="6"/>
  <c r="N52" i="6"/>
  <c r="N60" i="6"/>
  <c r="N96" i="6"/>
  <c r="N104" i="6"/>
  <c r="N112" i="6"/>
  <c r="N120" i="6"/>
  <c r="N128" i="6"/>
  <c r="N136" i="6"/>
  <c r="W43" i="4"/>
  <c r="H43" i="4" s="1"/>
  <c r="V30" i="4"/>
  <c r="G30" i="4" s="1"/>
  <c r="T43" i="4"/>
  <c r="E43" i="4" s="1"/>
  <c r="N9" i="6"/>
  <c r="N67" i="6"/>
  <c r="N71" i="6"/>
  <c r="N75" i="6"/>
  <c r="N79" i="6"/>
  <c r="N83" i="6"/>
  <c r="N87" i="6"/>
  <c r="N91" i="6"/>
  <c r="N70" i="6"/>
  <c r="N74" i="6"/>
  <c r="N78" i="6"/>
  <c r="N82" i="6"/>
  <c r="N86" i="6"/>
  <c r="N88" i="6"/>
  <c r="N66" i="6"/>
  <c r="N90" i="6"/>
  <c r="N65" i="6"/>
  <c r="N69" i="6"/>
  <c r="N73" i="6"/>
  <c r="N77" i="6"/>
  <c r="N81" i="6"/>
  <c r="N85" i="6"/>
  <c r="N89" i="6"/>
  <c r="N72" i="6"/>
  <c r="N76" i="6"/>
  <c r="N80" i="6"/>
  <c r="N84" i="6"/>
  <c r="N92" i="6"/>
  <c r="N68" i="6"/>
  <c r="P14" i="4"/>
  <c r="AG62" i="1" s="1"/>
  <c r="P13" i="4"/>
  <c r="AG61" i="1" s="1"/>
  <c r="I76" i="1" s="1"/>
  <c r="D102" i="1"/>
  <c r="N24" i="1"/>
  <c r="D24" i="1"/>
  <c r="N150" i="6"/>
  <c r="G23" i="1"/>
  <c r="M55" i="6"/>
  <c r="M148" i="6"/>
  <c r="M97" i="6"/>
  <c r="M47" i="6"/>
  <c r="M114" i="6"/>
  <c r="M101" i="6"/>
  <c r="M152" i="6"/>
  <c r="M62" i="6"/>
  <c r="M112" i="6"/>
  <c r="M118" i="6"/>
  <c r="M144" i="6"/>
  <c r="N156" i="6"/>
  <c r="N154" i="6"/>
  <c r="M121" i="6"/>
  <c r="L9" i="6"/>
  <c r="M51" i="6"/>
  <c r="M56" i="6"/>
  <c r="M98" i="6"/>
  <c r="M102" i="6"/>
  <c r="M106" i="6"/>
  <c r="M113" i="6"/>
  <c r="M117" i="6"/>
  <c r="M145" i="6"/>
  <c r="M149" i="6"/>
  <c r="M153" i="6"/>
  <c r="AA43" i="4"/>
  <c r="L43" i="4" s="1"/>
  <c r="S43" i="4"/>
  <c r="D43" i="4" s="1"/>
  <c r="X30" i="4"/>
  <c r="I30" i="4" s="1"/>
  <c r="T30" i="4"/>
  <c r="E30" i="4" s="1"/>
  <c r="X43" i="4"/>
  <c r="I43" i="4" s="1"/>
  <c r="N31" i="4"/>
  <c r="R44" i="4" s="1"/>
  <c r="C44" i="4" s="1"/>
  <c r="M129" i="6"/>
  <c r="M137" i="6"/>
  <c r="L44" i="6"/>
  <c r="M125" i="6"/>
  <c r="M133" i="6"/>
  <c r="M141" i="6"/>
  <c r="M155" i="6"/>
  <c r="Y43" i="4"/>
  <c r="J43" i="4" s="1"/>
  <c r="AA30" i="4"/>
  <c r="L30" i="4" s="1"/>
  <c r="W30" i="4"/>
  <c r="H30" i="4" s="1"/>
  <c r="S30" i="4"/>
  <c r="D30" i="4" s="1"/>
  <c r="V43" i="4"/>
  <c r="G43" i="4" s="1"/>
  <c r="Q30" i="4"/>
  <c r="B30" i="4" s="1"/>
  <c r="M46" i="6"/>
  <c r="M48" i="6"/>
  <c r="M50" i="6"/>
  <c r="M52" i="6"/>
  <c r="M59" i="6"/>
  <c r="M61" i="6"/>
  <c r="M63" i="6"/>
  <c r="M93" i="6"/>
  <c r="M109" i="6"/>
  <c r="M120" i="6"/>
  <c r="M122" i="6"/>
  <c r="M124" i="6"/>
  <c r="M126" i="6"/>
  <c r="M128" i="6"/>
  <c r="M134" i="6"/>
  <c r="M136" i="6"/>
  <c r="M138" i="6"/>
  <c r="M140" i="6"/>
  <c r="M142" i="6"/>
  <c r="M154" i="6"/>
  <c r="M156" i="6"/>
  <c r="F24" i="1"/>
  <c r="H24" i="1"/>
  <c r="P99" i="1"/>
  <c r="M24" i="1"/>
  <c r="L24" i="1"/>
  <c r="Q6" i="6"/>
  <c r="M7" i="6"/>
  <c r="F23" i="1"/>
  <c r="E23" i="1"/>
  <c r="D23" i="1"/>
  <c r="G24" i="1"/>
  <c r="P97" i="1"/>
  <c r="O52" i="1" s="1"/>
  <c r="M58" i="6"/>
  <c r="M94" i="6"/>
  <c r="M108" i="6"/>
  <c r="M110" i="6"/>
  <c r="M130" i="6"/>
  <c r="M132" i="6"/>
  <c r="C43" i="4"/>
  <c r="B43" i="4"/>
  <c r="H23" i="1"/>
  <c r="I24" i="1"/>
  <c r="O24" i="1"/>
  <c r="T26" i="1"/>
  <c r="N51" i="1" s="1"/>
  <c r="K24" i="1"/>
  <c r="J24" i="1"/>
  <c r="E24" i="1"/>
  <c r="P21" i="1"/>
  <c r="M10" i="6"/>
  <c r="P100" i="1"/>
  <c r="D37" i="1" l="1"/>
  <c r="D38" i="1" s="1"/>
  <c r="AG19" i="1"/>
  <c r="AF19" i="1"/>
  <c r="AG18" i="1"/>
  <c r="AI18" i="1" s="1"/>
  <c r="AF38" i="1"/>
  <c r="O76" i="1"/>
  <c r="AA31" i="4"/>
  <c r="L31" i="4" s="1"/>
  <c r="U31" i="4"/>
  <c r="F31" i="4" s="1"/>
  <c r="N37" i="1"/>
  <c r="N38" i="1" s="1"/>
  <c r="D42" i="1"/>
  <c r="E40" i="1" s="1"/>
  <c r="T31" i="4"/>
  <c r="E31" i="4" s="1"/>
  <c r="T44" i="4"/>
  <c r="E44" i="4" s="1"/>
  <c r="V31" i="4"/>
  <c r="G31" i="4" s="1"/>
  <c r="U44" i="4"/>
  <c r="F44" i="4" s="1"/>
  <c r="Z31" i="4"/>
  <c r="K31" i="4" s="1"/>
  <c r="W31" i="4"/>
  <c r="H31" i="4" s="1"/>
  <c r="X44" i="4"/>
  <c r="I44" i="4" s="1"/>
  <c r="W44" i="4"/>
  <c r="H44" i="4" s="1"/>
  <c r="Z44" i="4"/>
  <c r="K44" i="4" s="1"/>
  <c r="AG54" i="1"/>
  <c r="AF55" i="1"/>
  <c r="AG55" i="1"/>
  <c r="N32" i="4"/>
  <c r="V45" i="4" s="1"/>
  <c r="G45" i="4" s="1"/>
  <c r="S44" i="4"/>
  <c r="D44" i="4" s="1"/>
  <c r="R31" i="4"/>
  <c r="C31" i="4" s="1"/>
  <c r="Y44" i="4"/>
  <c r="J44" i="4" s="1"/>
  <c r="L37" i="1"/>
  <c r="L38" i="1" s="1"/>
  <c r="G37" i="1"/>
  <c r="G38" i="1" s="1"/>
  <c r="D103" i="1"/>
  <c r="E101" i="1" s="1"/>
  <c r="E102" i="1" s="1"/>
  <c r="K37" i="1"/>
  <c r="K38" i="1" s="1"/>
  <c r="O37" i="1"/>
  <c r="O38" i="1" s="1"/>
  <c r="M37" i="1"/>
  <c r="M38" i="1" s="1"/>
  <c r="L158" i="6"/>
  <c r="I159" i="6" s="1"/>
  <c r="AG72" i="1" s="1"/>
  <c r="AJ72" i="1" s="1"/>
  <c r="Y31" i="4"/>
  <c r="J31" i="4" s="1"/>
  <c r="Q31" i="4"/>
  <c r="B31" i="4" s="1"/>
  <c r="V44" i="4"/>
  <c r="G44" i="4" s="1"/>
  <c r="AA44" i="4"/>
  <c r="L44" i="4" s="1"/>
  <c r="S31" i="4"/>
  <c r="D31" i="4" s="1"/>
  <c r="X31" i="4"/>
  <c r="I31" i="4" s="1"/>
  <c r="Q44" i="4"/>
  <c r="B44" i="4" s="1"/>
  <c r="A77" i="5"/>
  <c r="H37" i="1"/>
  <c r="H38" i="1" s="1"/>
  <c r="E37" i="1"/>
  <c r="E38" i="1" s="1"/>
  <c r="F37" i="1"/>
  <c r="F38" i="1" s="1"/>
  <c r="P23" i="1"/>
  <c r="T23" i="1" s="1"/>
  <c r="J37" i="1"/>
  <c r="J38" i="1" s="1"/>
  <c r="I37" i="1"/>
  <c r="I38" i="1" s="1"/>
  <c r="G24" i="5"/>
  <c r="D24" i="5" s="1"/>
  <c r="G69" i="5"/>
  <c r="D69" i="5" s="1"/>
  <c r="G65" i="5"/>
  <c r="D65" i="5" s="1"/>
  <c r="G61" i="5"/>
  <c r="D61" i="5" s="1"/>
  <c r="G57" i="5"/>
  <c r="D57" i="5" s="1"/>
  <c r="G53" i="5"/>
  <c r="D53" i="5" s="1"/>
  <c r="G49" i="5"/>
  <c r="D49" i="5" s="1"/>
  <c r="G45" i="5"/>
  <c r="D45" i="5" s="1"/>
  <c r="G41" i="5"/>
  <c r="D41" i="5" s="1"/>
  <c r="G37" i="5"/>
  <c r="D37" i="5" s="1"/>
  <c r="G33" i="5"/>
  <c r="D33" i="5" s="1"/>
  <c r="G29" i="5"/>
  <c r="D29" i="5" s="1"/>
  <c r="G25" i="5"/>
  <c r="D25" i="5" s="1"/>
  <c r="G70" i="5"/>
  <c r="D70" i="5" s="1"/>
  <c r="G66" i="5"/>
  <c r="D66" i="5" s="1"/>
  <c r="G62" i="5"/>
  <c r="D62" i="5" s="1"/>
  <c r="G58" i="5"/>
  <c r="D58" i="5" s="1"/>
  <c r="G54" i="5"/>
  <c r="D54" i="5" s="1"/>
  <c r="G50" i="5"/>
  <c r="D50" i="5" s="1"/>
  <c r="G46" i="5"/>
  <c r="D46" i="5" s="1"/>
  <c r="G42" i="5"/>
  <c r="D42" i="5" s="1"/>
  <c r="G38" i="5"/>
  <c r="D38" i="5" s="1"/>
  <c r="G34" i="5"/>
  <c r="D34" i="5" s="1"/>
  <c r="G30" i="5"/>
  <c r="D30" i="5" s="1"/>
  <c r="G26" i="5"/>
  <c r="D26" i="5" s="1"/>
  <c r="G71" i="5"/>
  <c r="D71" i="5" s="1"/>
  <c r="G67" i="5"/>
  <c r="D67" i="5" s="1"/>
  <c r="G63" i="5"/>
  <c r="D63" i="5" s="1"/>
  <c r="G59" i="5"/>
  <c r="D59" i="5" s="1"/>
  <c r="G55" i="5"/>
  <c r="D55" i="5" s="1"/>
  <c r="G51" i="5"/>
  <c r="D51" i="5" s="1"/>
  <c r="G47" i="5"/>
  <c r="D47" i="5" s="1"/>
  <c r="G43" i="5"/>
  <c r="D43" i="5" s="1"/>
  <c r="G39" i="5"/>
  <c r="D39" i="5" s="1"/>
  <c r="G35" i="5"/>
  <c r="D35" i="5" s="1"/>
  <c r="G31" i="5"/>
  <c r="D31" i="5" s="1"/>
  <c r="G27" i="5"/>
  <c r="D27" i="5" s="1"/>
  <c r="G23" i="5"/>
  <c r="D23" i="5" s="1"/>
  <c r="G68" i="5"/>
  <c r="D68" i="5" s="1"/>
  <c r="G64" i="5"/>
  <c r="D64" i="5" s="1"/>
  <c r="G60" i="5"/>
  <c r="D60" i="5" s="1"/>
  <c r="G56" i="5"/>
  <c r="D56" i="5" s="1"/>
  <c r="G52" i="5"/>
  <c r="D52" i="5" s="1"/>
  <c r="G48" i="5"/>
  <c r="D48" i="5" s="1"/>
  <c r="G44" i="5"/>
  <c r="D44" i="5" s="1"/>
  <c r="G40" i="5"/>
  <c r="D40" i="5" s="1"/>
  <c r="G36" i="5"/>
  <c r="D36" i="5" s="1"/>
  <c r="G32" i="5"/>
  <c r="D32" i="5" s="1"/>
  <c r="G28" i="5"/>
  <c r="D28" i="5" s="1"/>
  <c r="P24" i="1"/>
  <c r="T24" i="1" s="1"/>
  <c r="O51" i="1"/>
  <c r="O57" i="1" s="1"/>
  <c r="F55" i="1" s="1"/>
  <c r="M158" i="6"/>
  <c r="I158" i="6" s="1"/>
  <c r="AG71" i="1" s="1"/>
  <c r="AJ71" i="1" s="1"/>
  <c r="AF41" i="1" l="1"/>
  <c r="AF42" i="1" s="1"/>
  <c r="F58" i="1" s="1"/>
  <c r="AI19" i="1"/>
  <c r="Q45" i="4"/>
  <c r="B45" i="4" s="1"/>
  <c r="X32" i="4"/>
  <c r="I32" i="4" s="1"/>
  <c r="W32" i="4"/>
  <c r="H32" i="4" s="1"/>
  <c r="S45" i="4"/>
  <c r="D45" i="4" s="1"/>
  <c r="AH70" i="1"/>
  <c r="AH72" i="1" s="1"/>
  <c r="AG78" i="1"/>
  <c r="AG79" i="1"/>
  <c r="AH69" i="1"/>
  <c r="AG77" i="1"/>
  <c r="AG76" i="1"/>
  <c r="I160" i="6"/>
  <c r="R45" i="4"/>
  <c r="C45" i="4" s="1"/>
  <c r="Q32" i="4"/>
  <c r="B32" i="4" s="1"/>
  <c r="AH55" i="1"/>
  <c r="Z45" i="4"/>
  <c r="K45" i="4" s="1"/>
  <c r="U45" i="4"/>
  <c r="F45" i="4" s="1"/>
  <c r="Y45" i="4"/>
  <c r="J45" i="4" s="1"/>
  <c r="X45" i="4"/>
  <c r="I45" i="4" s="1"/>
  <c r="Y32" i="4"/>
  <c r="J32" i="4" s="1"/>
  <c r="T45" i="4"/>
  <c r="E45" i="4" s="1"/>
  <c r="W45" i="4"/>
  <c r="H45" i="4" s="1"/>
  <c r="S32" i="4"/>
  <c r="D32" i="4" s="1"/>
  <c r="AA45" i="4"/>
  <c r="L45" i="4" s="1"/>
  <c r="N33" i="4"/>
  <c r="R46" i="4" s="1"/>
  <c r="C46" i="4" s="1"/>
  <c r="AH54" i="1"/>
  <c r="U32" i="4"/>
  <c r="F32" i="4" s="1"/>
  <c r="T32" i="4"/>
  <c r="E32" i="4" s="1"/>
  <c r="Z32" i="4"/>
  <c r="K32" i="4" s="1"/>
  <c r="R32" i="4"/>
  <c r="C32" i="4" s="1"/>
  <c r="AA32" i="4"/>
  <c r="L32" i="4" s="1"/>
  <c r="V32" i="4"/>
  <c r="G32" i="4" s="1"/>
  <c r="E41" i="1"/>
  <c r="E42" i="1"/>
  <c r="F40" i="1" s="1"/>
  <c r="F42" i="1" s="1"/>
  <c r="E103" i="1"/>
  <c r="F101" i="1" s="1"/>
  <c r="F103" i="1" s="1"/>
  <c r="G101" i="1" s="1"/>
  <c r="G103" i="1" s="1"/>
  <c r="H101" i="1" s="1"/>
  <c r="N84" i="1"/>
  <c r="O84" i="1" s="1"/>
  <c r="P37" i="1"/>
  <c r="T37" i="1" s="1"/>
  <c r="D73" i="5"/>
  <c r="P38" i="1"/>
  <c r="AA46" i="4"/>
  <c r="L46" i="4" s="1"/>
  <c r="V33" i="4"/>
  <c r="G33" i="4" s="1"/>
  <c r="W46" i="4"/>
  <c r="H46" i="4" s="1"/>
  <c r="S33" i="4"/>
  <c r="D33" i="4" s="1"/>
  <c r="G58" i="1" l="1"/>
  <c r="AH77" i="1"/>
  <c r="AH79" i="1"/>
  <c r="AI69" i="1" s="1"/>
  <c r="Q46" i="4"/>
  <c r="B46" i="4" s="1"/>
  <c r="AH71" i="1"/>
  <c r="O83" i="1"/>
  <c r="R33" i="4"/>
  <c r="C33" i="4" s="1"/>
  <c r="N34" i="4"/>
  <c r="Z34" i="4" s="1"/>
  <c r="K34" i="4" s="1"/>
  <c r="T33" i="4"/>
  <c r="E33" i="4" s="1"/>
  <c r="Z46" i="4"/>
  <c r="K46" i="4" s="1"/>
  <c r="U33" i="4"/>
  <c r="F33" i="4" s="1"/>
  <c r="Q33" i="4"/>
  <c r="B33" i="4" s="1"/>
  <c r="W33" i="4"/>
  <c r="H33" i="4" s="1"/>
  <c r="X46" i="4"/>
  <c r="I46" i="4" s="1"/>
  <c r="Y33" i="4"/>
  <c r="J33" i="4" s="1"/>
  <c r="S46" i="4"/>
  <c r="D46" i="4" s="1"/>
  <c r="T46" i="4"/>
  <c r="E46" i="4" s="1"/>
  <c r="AA33" i="4"/>
  <c r="L33" i="4" s="1"/>
  <c r="Z33" i="4"/>
  <c r="K33" i="4" s="1"/>
  <c r="Y46" i="4"/>
  <c r="J46" i="4" s="1"/>
  <c r="V46" i="4"/>
  <c r="G46" i="4" s="1"/>
  <c r="U46" i="4"/>
  <c r="F46" i="4" s="1"/>
  <c r="X33" i="4"/>
  <c r="I33" i="4" s="1"/>
  <c r="G102" i="1"/>
  <c r="F102" i="1"/>
  <c r="F41" i="1"/>
  <c r="G40" i="1"/>
  <c r="G42" i="1" s="1"/>
  <c r="H103" i="1"/>
  <c r="I101" i="1" s="1"/>
  <c r="H102" i="1"/>
  <c r="AA34" i="4" l="1"/>
  <c r="L34" i="4" s="1"/>
  <c r="V34" i="4"/>
  <c r="G34" i="4" s="1"/>
  <c r="Q34" i="4"/>
  <c r="B34" i="4" s="1"/>
  <c r="R47" i="4"/>
  <c r="C47" i="4" s="1"/>
  <c r="S34" i="4"/>
  <c r="D34" i="4" s="1"/>
  <c r="U34" i="4"/>
  <c r="F34" i="4" s="1"/>
  <c r="AA47" i="4"/>
  <c r="L47" i="4" s="1"/>
  <c r="V47" i="4"/>
  <c r="G47" i="4" s="1"/>
  <c r="F61" i="1"/>
  <c r="G61" i="1"/>
  <c r="AI77" i="1"/>
  <c r="AI71" i="1" s="1"/>
  <c r="F72" i="1" s="1"/>
  <c r="N35" i="4"/>
  <c r="S48" i="4" s="1"/>
  <c r="D48" i="4" s="1"/>
  <c r="U47" i="4"/>
  <c r="F47" i="4" s="1"/>
  <c r="X47" i="4"/>
  <c r="I47" i="4" s="1"/>
  <c r="Z47" i="4"/>
  <c r="K47" i="4" s="1"/>
  <c r="Y34" i="4"/>
  <c r="J34" i="4" s="1"/>
  <c r="W47" i="4"/>
  <c r="H47" i="4" s="1"/>
  <c r="T34" i="4"/>
  <c r="E34" i="4" s="1"/>
  <c r="W34" i="4"/>
  <c r="H34" i="4" s="1"/>
  <c r="Q47" i="4"/>
  <c r="B47" i="4" s="1"/>
  <c r="T47" i="4"/>
  <c r="E47" i="4" s="1"/>
  <c r="R34" i="4"/>
  <c r="C34" i="4" s="1"/>
  <c r="X34" i="4"/>
  <c r="I34" i="4" s="1"/>
  <c r="S47" i="4"/>
  <c r="D47" i="4" s="1"/>
  <c r="Y47" i="4"/>
  <c r="J47" i="4" s="1"/>
  <c r="H40" i="1"/>
  <c r="H42" i="1" s="1"/>
  <c r="G41" i="1"/>
  <c r="S35" i="4"/>
  <c r="D35" i="4" s="1"/>
  <c r="N36" i="4"/>
  <c r="R48" i="4"/>
  <c r="C48" i="4" s="1"/>
  <c r="Z35" i="4"/>
  <c r="K35" i="4" s="1"/>
  <c r="T35" i="4"/>
  <c r="E35" i="4" s="1"/>
  <c r="W48" i="4"/>
  <c r="H48" i="4" s="1"/>
  <c r="I103" i="1"/>
  <c r="J101" i="1" s="1"/>
  <c r="I102" i="1"/>
  <c r="AI79" i="1" l="1"/>
  <c r="AI70" i="1" s="1"/>
  <c r="F71" i="1" s="1"/>
  <c r="G72" i="1"/>
  <c r="Y35" i="4"/>
  <c r="J35" i="4" s="1"/>
  <c r="V35" i="4"/>
  <c r="G35" i="4" s="1"/>
  <c r="U35" i="4"/>
  <c r="F35" i="4" s="1"/>
  <c r="Q48" i="4"/>
  <c r="B48" i="4" s="1"/>
  <c r="AA48" i="4"/>
  <c r="L48" i="4" s="1"/>
  <c r="R35" i="4"/>
  <c r="C35" i="4" s="1"/>
  <c r="T48" i="4"/>
  <c r="E48" i="4" s="1"/>
  <c r="V48" i="4"/>
  <c r="G48" i="4" s="1"/>
  <c r="U48" i="4"/>
  <c r="F48" i="4" s="1"/>
  <c r="X35" i="4"/>
  <c r="I35" i="4" s="1"/>
  <c r="X48" i="4"/>
  <c r="I48" i="4" s="1"/>
  <c r="Q35" i="4"/>
  <c r="B35" i="4" s="1"/>
  <c r="AA35" i="4"/>
  <c r="L35" i="4" s="1"/>
  <c r="Y48" i="4"/>
  <c r="J48" i="4" s="1"/>
  <c r="Z48" i="4"/>
  <c r="K48" i="4" s="1"/>
  <c r="W35" i="4"/>
  <c r="H35" i="4" s="1"/>
  <c r="H41" i="1"/>
  <c r="I40" i="1"/>
  <c r="I42" i="1" s="1"/>
  <c r="X49" i="4"/>
  <c r="I49" i="4" s="1"/>
  <c r="S36" i="4"/>
  <c r="D36" i="4" s="1"/>
  <c r="W36" i="4"/>
  <c r="H36" i="4" s="1"/>
  <c r="AA36" i="4"/>
  <c r="L36" i="4" s="1"/>
  <c r="Q36" i="4"/>
  <c r="B36" i="4" s="1"/>
  <c r="U36" i="4"/>
  <c r="F36" i="4" s="1"/>
  <c r="Y49" i="4"/>
  <c r="J49" i="4" s="1"/>
  <c r="U49" i="4"/>
  <c r="F49" i="4" s="1"/>
  <c r="Z49" i="4"/>
  <c r="K49" i="4" s="1"/>
  <c r="Y36" i="4"/>
  <c r="J36" i="4" s="1"/>
  <c r="AA49" i="4"/>
  <c r="L49" i="4" s="1"/>
  <c r="V49" i="4"/>
  <c r="G49" i="4" s="1"/>
  <c r="Z36" i="4"/>
  <c r="K36" i="4" s="1"/>
  <c r="T49" i="4"/>
  <c r="E49" i="4" s="1"/>
  <c r="X36" i="4"/>
  <c r="I36" i="4" s="1"/>
  <c r="V36" i="4"/>
  <c r="G36" i="4" s="1"/>
  <c r="W49" i="4"/>
  <c r="H49" i="4" s="1"/>
  <c r="R36" i="4"/>
  <c r="C36" i="4" s="1"/>
  <c r="N37" i="4"/>
  <c r="R49" i="4"/>
  <c r="C49" i="4" s="1"/>
  <c r="T36" i="4"/>
  <c r="E36" i="4" s="1"/>
  <c r="S49" i="4"/>
  <c r="D49" i="4" s="1"/>
  <c r="Q49" i="4"/>
  <c r="B49" i="4" s="1"/>
  <c r="J103" i="1"/>
  <c r="K101" i="1" s="1"/>
  <c r="J102" i="1"/>
  <c r="AI72" i="1" l="1"/>
  <c r="F73" i="1" s="1"/>
  <c r="G71" i="1"/>
  <c r="J40" i="1"/>
  <c r="J42" i="1" s="1"/>
  <c r="I41" i="1"/>
  <c r="V37" i="4"/>
  <c r="G37" i="4" s="1"/>
  <c r="Y50" i="4"/>
  <c r="J50" i="4" s="1"/>
  <c r="X50" i="4"/>
  <c r="I50" i="4" s="1"/>
  <c r="U50" i="4"/>
  <c r="F50" i="4" s="1"/>
  <c r="V50" i="4"/>
  <c r="G50" i="4" s="1"/>
  <c r="W50" i="4"/>
  <c r="H50" i="4" s="1"/>
  <c r="S37" i="4"/>
  <c r="D37" i="4" s="1"/>
  <c r="Q37" i="4"/>
  <c r="B37" i="4" s="1"/>
  <c r="Z37" i="4"/>
  <c r="K37" i="4" s="1"/>
  <c r="AA37" i="4"/>
  <c r="L37" i="4" s="1"/>
  <c r="Y37" i="4"/>
  <c r="J37" i="4" s="1"/>
  <c r="Q50" i="4"/>
  <c r="B50" i="4" s="1"/>
  <c r="W37" i="4"/>
  <c r="H37" i="4" s="1"/>
  <c r="Z50" i="4"/>
  <c r="K50" i="4" s="1"/>
  <c r="R50" i="4"/>
  <c r="C50" i="4" s="1"/>
  <c r="N38" i="4"/>
  <c r="S50" i="4"/>
  <c r="D50" i="4" s="1"/>
  <c r="U37" i="4"/>
  <c r="F37" i="4" s="1"/>
  <c r="T50" i="4"/>
  <c r="E50" i="4" s="1"/>
  <c r="X37" i="4"/>
  <c r="I37" i="4" s="1"/>
  <c r="T37" i="4"/>
  <c r="E37" i="4" s="1"/>
  <c r="AA50" i="4"/>
  <c r="L50" i="4" s="1"/>
  <c r="R37" i="4"/>
  <c r="C37" i="4" s="1"/>
  <c r="K102" i="1"/>
  <c r="K103" i="1"/>
  <c r="L101" i="1" s="1"/>
  <c r="G73" i="1" l="1"/>
  <c r="K40" i="1"/>
  <c r="K42" i="1" s="1"/>
  <c r="J41" i="1"/>
  <c r="V38" i="4"/>
  <c r="G38" i="4" s="1"/>
  <c r="Q51" i="4"/>
  <c r="B51" i="4" s="1"/>
  <c r="W51" i="4"/>
  <c r="H51" i="4" s="1"/>
  <c r="Y38" i="4"/>
  <c r="J38" i="4" s="1"/>
  <c r="Z38" i="4"/>
  <c r="K38" i="4" s="1"/>
  <c r="V51" i="4"/>
  <c r="G51" i="4" s="1"/>
  <c r="Y51" i="4"/>
  <c r="J51" i="4" s="1"/>
  <c r="N39" i="4"/>
  <c r="T38" i="4"/>
  <c r="E38" i="4" s="1"/>
  <c r="AA51" i="4"/>
  <c r="L51" i="4" s="1"/>
  <c r="W38" i="4"/>
  <c r="H38" i="4" s="1"/>
  <c r="Q38" i="4"/>
  <c r="B38" i="4" s="1"/>
  <c r="X38" i="4"/>
  <c r="I38" i="4" s="1"/>
  <c r="T51" i="4"/>
  <c r="E51" i="4" s="1"/>
  <c r="S38" i="4"/>
  <c r="D38" i="4" s="1"/>
  <c r="X51" i="4"/>
  <c r="I51" i="4" s="1"/>
  <c r="U51" i="4"/>
  <c r="F51" i="4" s="1"/>
  <c r="R38" i="4"/>
  <c r="C38" i="4" s="1"/>
  <c r="U38" i="4"/>
  <c r="F38" i="4" s="1"/>
  <c r="AA38" i="4"/>
  <c r="L38" i="4" s="1"/>
  <c r="R51" i="4"/>
  <c r="C51" i="4" s="1"/>
  <c r="Z51" i="4"/>
  <c r="K51" i="4" s="1"/>
  <c r="S51" i="4"/>
  <c r="D51" i="4" s="1"/>
  <c r="L103" i="1"/>
  <c r="M101" i="1" s="1"/>
  <c r="L102" i="1"/>
  <c r="L40" i="1" l="1"/>
  <c r="L42" i="1" s="1"/>
  <c r="K41" i="1"/>
  <c r="W39" i="4"/>
  <c r="H39" i="4" s="1"/>
  <c r="AA52" i="4"/>
  <c r="L52" i="4" s="1"/>
  <c r="U39" i="4"/>
  <c r="N40" i="4"/>
  <c r="R39" i="4"/>
  <c r="C39" i="4" s="1"/>
  <c r="AA39" i="4"/>
  <c r="L39" i="4" s="1"/>
  <c r="X39" i="4"/>
  <c r="I39" i="4" s="1"/>
  <c r="Y39" i="4"/>
  <c r="J39" i="4" s="1"/>
  <c r="U52" i="4"/>
  <c r="F52" i="4" s="1"/>
  <c r="F39" i="4"/>
  <c r="W52" i="4"/>
  <c r="H52" i="4" s="1"/>
  <c r="S52" i="4"/>
  <c r="D52" i="4" s="1"/>
  <c r="X52" i="4"/>
  <c r="I52" i="4" s="1"/>
  <c r="R52" i="4"/>
  <c r="C52" i="4" s="1"/>
  <c r="Z39" i="4"/>
  <c r="K39" i="4" s="1"/>
  <c r="Y52" i="4"/>
  <c r="J52" i="4" s="1"/>
  <c r="S39" i="4"/>
  <c r="D39" i="4" s="1"/>
  <c r="Q39" i="4"/>
  <c r="B39" i="4" s="1"/>
  <c r="T39" i="4"/>
  <c r="E39" i="4" s="1"/>
  <c r="T52" i="4"/>
  <c r="E52" i="4" s="1"/>
  <c r="Z52" i="4"/>
  <c r="K52" i="4" s="1"/>
  <c r="Q52" i="4"/>
  <c r="B52" i="4" s="1"/>
  <c r="V52" i="4"/>
  <c r="G52" i="4" s="1"/>
  <c r="V39" i="4"/>
  <c r="G39" i="4" s="1"/>
  <c r="M103" i="1"/>
  <c r="N101" i="1" s="1"/>
  <c r="M102" i="1"/>
  <c r="M40" i="1" l="1"/>
  <c r="M42" i="1" s="1"/>
  <c r="L41" i="1"/>
  <c r="Y40" i="4"/>
  <c r="J40" i="4" s="1"/>
  <c r="X40" i="4"/>
  <c r="I40" i="4" s="1"/>
  <c r="R53" i="4"/>
  <c r="C53" i="4" s="1"/>
  <c r="S53" i="4"/>
  <c r="D53" i="4" s="1"/>
  <c r="W53" i="4"/>
  <c r="H53" i="4" s="1"/>
  <c r="AA53" i="4"/>
  <c r="L53" i="4" s="1"/>
  <c r="U40" i="4"/>
  <c r="F40" i="4" s="1"/>
  <c r="Z40" i="4"/>
  <c r="K40" i="4" s="1"/>
  <c r="Q53" i="4"/>
  <c r="B53" i="4" s="1"/>
  <c r="Z53" i="4"/>
  <c r="K53" i="4" s="1"/>
  <c r="Q40" i="4"/>
  <c r="B40" i="4" s="1"/>
  <c r="U53" i="4"/>
  <c r="F53" i="4" s="1"/>
  <c r="T53" i="4"/>
  <c r="E53" i="4" s="1"/>
  <c r="R40" i="4"/>
  <c r="C40" i="4" s="1"/>
  <c r="S40" i="4"/>
  <c r="D40" i="4" s="1"/>
  <c r="T40" i="4"/>
  <c r="E40" i="4" s="1"/>
  <c r="N41" i="4"/>
  <c r="Y53" i="4"/>
  <c r="J53" i="4" s="1"/>
  <c r="V53" i="4"/>
  <c r="G53" i="4" s="1"/>
  <c r="X53" i="4"/>
  <c r="I53" i="4" s="1"/>
  <c r="AA40" i="4"/>
  <c r="L40" i="4" s="1"/>
  <c r="W40" i="4"/>
  <c r="H40" i="4" s="1"/>
  <c r="V40" i="4"/>
  <c r="G40" i="4" s="1"/>
  <c r="N103" i="1"/>
  <c r="O101" i="1" s="1"/>
  <c r="N102" i="1"/>
  <c r="M41" i="1" l="1"/>
  <c r="N40" i="1"/>
  <c r="N42" i="1" s="1"/>
  <c r="V41" i="4"/>
  <c r="G41" i="4" s="1"/>
  <c r="Z54" i="4"/>
  <c r="K54" i="4" s="1"/>
  <c r="Y41" i="4"/>
  <c r="Z41" i="4"/>
  <c r="K41" i="4" s="1"/>
  <c r="U41" i="4"/>
  <c r="F41" i="4" s="1"/>
  <c r="AA41" i="4"/>
  <c r="L41" i="4" s="1"/>
  <c r="W54" i="4"/>
  <c r="H54" i="4" s="1"/>
  <c r="X54" i="4"/>
  <c r="I54" i="4" s="1"/>
  <c r="S54" i="4"/>
  <c r="D54" i="4" s="1"/>
  <c r="T54" i="4"/>
  <c r="E54" i="4" s="1"/>
  <c r="R41" i="4"/>
  <c r="C41" i="4" s="1"/>
  <c r="R54" i="4"/>
  <c r="C54" i="4" s="1"/>
  <c r="S41" i="4"/>
  <c r="D41" i="4" s="1"/>
  <c r="V54" i="4"/>
  <c r="G54" i="4" s="1"/>
  <c r="Y54" i="4"/>
  <c r="J54" i="4" s="1"/>
  <c r="Q41" i="4"/>
  <c r="B41" i="4" s="1"/>
  <c r="W41" i="4"/>
  <c r="H41" i="4" s="1"/>
  <c r="Q54" i="4"/>
  <c r="B54" i="4" s="1"/>
  <c r="X41" i="4"/>
  <c r="I41" i="4" s="1"/>
  <c r="U54" i="4"/>
  <c r="F54" i="4" s="1"/>
  <c r="J41" i="4"/>
  <c r="T41" i="4"/>
  <c r="E41" i="4" s="1"/>
  <c r="AA54" i="4"/>
  <c r="L54" i="4" s="1"/>
  <c r="O103" i="1"/>
  <c r="P103" i="1" s="1"/>
  <c r="O102" i="1"/>
  <c r="P102" i="1" s="1"/>
  <c r="N41" i="1" l="1"/>
  <c r="O40" i="1"/>
  <c r="O42" i="1" s="1"/>
  <c r="K56" i="4"/>
  <c r="O41" i="1" l="1"/>
  <c r="P41" i="1" s="1"/>
  <c r="Q21" i="1" s="1"/>
  <c r="T21" i="1" l="1"/>
  <c r="Q38" i="1"/>
  <c r="T38" i="1" s="1"/>
  <c r="P42" i="1"/>
  <c r="G57" i="1" l="1"/>
  <c r="F52" i="1"/>
  <c r="G52" i="1"/>
  <c r="O90" i="1"/>
  <c r="F66" i="1" s="1"/>
  <c r="F53" i="1" l="1"/>
  <c r="F56" i="1" s="1"/>
  <c r="F59" i="1" s="1"/>
  <c r="F64" i="1" s="1"/>
  <c r="G53" i="1"/>
  <c r="G56" i="1" s="1"/>
  <c r="G59" i="1" l="1"/>
  <c r="G64" i="1" s="1"/>
  <c r="O75" i="1" l="1"/>
  <c r="T53" i="1" s="1"/>
  <c r="T54" i="1" l="1"/>
  <c r="T55" i="1" s="1"/>
  <c r="O74" i="1" s="1"/>
  <c r="O79" i="1" s="1"/>
  <c r="F65" i="1" s="1"/>
  <c r="F67" i="1" s="1"/>
  <c r="G67" i="1"/>
  <c r="AL16" i="1" l="1"/>
  <c r="AL18" i="1" s="1"/>
  <c r="AM18" i="1" s="1"/>
  <c r="AG68" i="1"/>
  <c r="AJ68" i="1"/>
  <c r="AJ74" i="1" s="1"/>
  <c r="AL23" i="1"/>
  <c r="AO13" i="1" l="1"/>
  <c r="AO11" i="1"/>
  <c r="AO12" i="1"/>
  <c r="AG74" i="1"/>
  <c r="AN18" i="1"/>
  <c r="AH11" i="1" l="1"/>
  <c r="AH14" i="1"/>
  <c r="AH13" i="1"/>
  <c r="AH12" i="1"/>
  <c r="AF26" i="1"/>
  <c r="AI26" i="1" s="1"/>
  <c r="AI25" i="1"/>
  <c r="AL25" i="1" s="1"/>
  <c r="AM25" i="1" s="1"/>
  <c r="AL19" i="1"/>
  <c r="AN19" i="1" s="1"/>
  <c r="AO22" i="1" s="1"/>
  <c r="F69" i="1" s="1"/>
  <c r="AL26" i="1" l="1"/>
  <c r="AN26" i="1" s="1"/>
  <c r="AN25" i="1"/>
  <c r="AM19" i="1"/>
  <c r="AM26" i="1" l="1"/>
  <c r="AL27" i="1" s="1"/>
  <c r="AN27" i="1" s="1"/>
  <c r="AL20" i="1"/>
  <c r="AN20" i="1" s="1"/>
  <c r="AM27" i="1" l="1"/>
  <c r="AL28" i="1" s="1"/>
  <c r="AN28" i="1" s="1"/>
  <c r="AM20" i="1"/>
  <c r="AL21" i="1" s="1"/>
  <c r="AN21" i="1" s="1"/>
  <c r="AN22" i="1" s="1"/>
  <c r="F70" i="1" s="1"/>
  <c r="AG14" i="1" l="1"/>
  <c r="AJ14" i="1" s="1"/>
  <c r="AG13" i="1"/>
  <c r="AJ13" i="1" s="1"/>
  <c r="AG12" i="1"/>
  <c r="AJ12" i="1" s="1"/>
  <c r="AG11" i="1"/>
  <c r="AJ11" i="1" s="1"/>
  <c r="AM28" i="1"/>
  <c r="AL29" i="1" s="1"/>
  <c r="AN29" i="1" s="1"/>
  <c r="F75" i="1" l="1"/>
  <c r="F76" i="1" s="1"/>
  <c r="F77" i="1" s="1"/>
  <c r="F81" i="1" s="1"/>
  <c r="A85" i="1" s="1"/>
  <c r="AM29" i="1"/>
  <c r="AL30" i="1" s="1"/>
  <c r="AN30" i="1" s="1"/>
  <c r="F85" i="1" l="1"/>
  <c r="AM30" i="1"/>
  <c r="AL31" i="1" s="1"/>
  <c r="AN31" i="1" s="1"/>
  <c r="AN32" i="1" s="1"/>
  <c r="AO32" i="1" s="1"/>
  <c r="G69" i="1" s="1"/>
  <c r="G70" i="1" l="1"/>
  <c r="AN13" i="1" l="1"/>
  <c r="AQ13" i="1" s="1"/>
  <c r="AN12" i="1"/>
  <c r="AQ12" i="1" s="1"/>
  <c r="AN11" i="1"/>
  <c r="AQ11" i="1" s="1"/>
  <c r="G75" i="1" l="1"/>
  <c r="G76" i="1" s="1"/>
  <c r="G77" i="1" s="1"/>
  <c r="G81" i="1" s="1"/>
  <c r="A87" i="1" s="1"/>
  <c r="F8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Nithyanand Yeswanth</author>
  </authors>
  <commentList>
    <comment ref="N51" authorId="0" shapeId="0" xr:uid="{00000000-0006-0000-0100-000001000000}">
      <text>
        <r>
          <rPr>
            <sz val="8"/>
            <color indexed="81"/>
            <rFont val="Tahoma"/>
            <family val="2"/>
          </rPr>
          <t>Enter rent in D26 to O26</t>
        </r>
      </text>
    </comment>
  </commentList>
</comments>
</file>

<file path=xl/sharedStrings.xml><?xml version="1.0" encoding="utf-8"?>
<sst xmlns="http://schemas.openxmlformats.org/spreadsheetml/2006/main" count="792" uniqueCount="591">
  <si>
    <t>Basic</t>
  </si>
  <si>
    <t>DA</t>
  </si>
  <si>
    <t>Convey</t>
  </si>
  <si>
    <t>HRA</t>
  </si>
  <si>
    <t>Ch. Educ</t>
  </si>
  <si>
    <t>Medical</t>
  </si>
  <si>
    <t>LTA</t>
  </si>
  <si>
    <t>Misc</t>
  </si>
  <si>
    <t>Total</t>
  </si>
  <si>
    <t>PF</t>
  </si>
  <si>
    <t>VPF</t>
  </si>
  <si>
    <t>IT</t>
  </si>
  <si>
    <t>Rent</t>
  </si>
  <si>
    <t>Life Insur.</t>
  </si>
  <si>
    <t>Oth Ded</t>
  </si>
  <si>
    <t>Earnings</t>
  </si>
  <si>
    <t>Deductions</t>
  </si>
  <si>
    <t>May</t>
  </si>
  <si>
    <t>Perks</t>
  </si>
  <si>
    <t>Bonus</t>
  </si>
  <si>
    <t>Gross</t>
  </si>
  <si>
    <t>Apr</t>
  </si>
  <si>
    <t>Jun</t>
  </si>
  <si>
    <t>Jul</t>
  </si>
  <si>
    <t>Aug</t>
  </si>
  <si>
    <t>Sep</t>
  </si>
  <si>
    <t>Oct</t>
  </si>
  <si>
    <t>Nov</t>
  </si>
  <si>
    <t>Dec</t>
  </si>
  <si>
    <t>Jan</t>
  </si>
  <si>
    <t>Feb</t>
  </si>
  <si>
    <t>Mar</t>
  </si>
  <si>
    <t>Y</t>
  </si>
  <si>
    <t>N</t>
  </si>
  <si>
    <t>Tot Ded</t>
  </si>
  <si>
    <t>Net</t>
  </si>
  <si>
    <t>OB</t>
  </si>
  <si>
    <t>Int</t>
  </si>
  <si>
    <t>CB</t>
  </si>
  <si>
    <t>In India?</t>
  </si>
  <si>
    <t>Metro/non?</t>
  </si>
  <si>
    <t>PF%</t>
  </si>
  <si>
    <t>Incl PF?</t>
  </si>
  <si>
    <t>Tax Computation</t>
  </si>
  <si>
    <t>Gross Salary</t>
  </si>
  <si>
    <t>Profession Tax</t>
  </si>
  <si>
    <t>Exemptions under section 10 &amp; 17</t>
  </si>
  <si>
    <t>Gross Salary after Section 10 &amp; 17 exemptions</t>
  </si>
  <si>
    <t>Income chargeable under head 'Salaries'</t>
  </si>
  <si>
    <t>Other income</t>
  </si>
  <si>
    <t>Gross Total Income</t>
  </si>
  <si>
    <t>Deductions under chapter VI-A</t>
  </si>
  <si>
    <t>Deductions under sec 80C</t>
  </si>
  <si>
    <t>Net taxable income</t>
  </si>
  <si>
    <t>Appl Amt</t>
  </si>
  <si>
    <t>Balance</t>
  </si>
  <si>
    <t>Tax</t>
  </si>
  <si>
    <t>Total Tax Liability</t>
  </si>
  <si>
    <t>Total Income tax paid from salary</t>
  </si>
  <si>
    <t>Tax paid outside of salary</t>
  </si>
  <si>
    <t>Income tax due</t>
  </si>
  <si>
    <t>Remaining months in year</t>
  </si>
  <si>
    <t>Produced</t>
  </si>
  <si>
    <t>Limited</t>
  </si>
  <si>
    <t>Children's Education Allowance Exemption (sec 10 (14))</t>
  </si>
  <si>
    <t>Total Exempted Allowances</t>
  </si>
  <si>
    <t>Interest on housing loan (for tax exemption)</t>
  </si>
  <si>
    <t>Deductions under Chapter VI-A</t>
  </si>
  <si>
    <t>Donation to approved fund and charities (sec 80G)</t>
  </si>
  <si>
    <t>Rent deduction (sec 80GG) only if HRA not received</t>
  </si>
  <si>
    <t>Total Deductibles</t>
  </si>
  <si>
    <t>Deductions under Chapter VI (sec 80C)</t>
  </si>
  <si>
    <t>NSC (sec 80C)</t>
  </si>
  <si>
    <t>Employees Provident Fund &amp; Voluntary PF (sec 80C)</t>
  </si>
  <si>
    <t>Total Investments</t>
  </si>
  <si>
    <t>Others</t>
  </si>
  <si>
    <t>SETUP PARAMETERS</t>
  </si>
  <si>
    <t>PF/VPF deductions</t>
  </si>
  <si>
    <t xml:space="preserve">    PF as a percentage of "Salary"</t>
  </si>
  <si>
    <t xml:space="preserve">    VPF as a percentage of "Salary"</t>
  </si>
  <si>
    <t xml:space="preserve">    Interest rate on PF/VPF</t>
  </si>
  <si>
    <t>P</t>
  </si>
  <si>
    <t>For Housing Loan</t>
  </si>
  <si>
    <t xml:space="preserve">    House self-occupied? (Y or N)</t>
  </si>
  <si>
    <t xml:space="preserve">    Loan taken after Apr 1, 1999?</t>
  </si>
  <si>
    <t>Miscellaneous</t>
  </si>
  <si>
    <t xml:space="preserve">    Sr. citizen included in medical treatment u/s 80DDB? (Y or N)</t>
  </si>
  <si>
    <t xml:space="preserve">    Have permanent physical disability? (Y or N)</t>
  </si>
  <si>
    <t xml:space="preserve">    Do you live in Company provided accommodation? (Y or N)</t>
  </si>
  <si>
    <t>Income Tax Calculator</t>
  </si>
  <si>
    <t>email: taxcalc@ynithya.com</t>
  </si>
  <si>
    <t>PLEASE ENTER YOUR NAME HERE</t>
  </si>
  <si>
    <t>D I S C L A I M E R</t>
  </si>
  <si>
    <t>P L E A S E   R E A D   T H E S E   I N S T R U C T I O N S   C A R E F U L L Y</t>
  </si>
  <si>
    <t>This sheet can be used to compute the tax for salaried individuals only</t>
  </si>
  <si>
    <t>Enter the numbers only in the yellow-colored cells. You will not be able to enter data in other cells</t>
  </si>
  <si>
    <t>T A X   R U L E S   &amp;   O T H E R   U S E F U L   I N F O R M A T I O N</t>
  </si>
  <si>
    <t>H O W   T O   G E T   A N   U P D A T E   /   C O N T A C T   M E</t>
  </si>
  <si>
    <t>This may also be changed when there are changes in tax rules that affect income tax computation</t>
  </si>
  <si>
    <t>Please check back frequently (at least once every 2 months) to see that you have the latest version. You can compare the version number at the top of this instructions page. However, if you have subscribed, you will automatically receive updates</t>
  </si>
  <si>
    <t>Since I am not a chartered accountant or a tax consultant, I am not in a position to answer specfic queries related to taxation. You will have to contact a tax consultant for your specific queries</t>
  </si>
  <si>
    <t>Click here to go to the tax calculation sheet</t>
  </si>
  <si>
    <t>R E V I S I O N   H I S T O R Y</t>
  </si>
  <si>
    <t>Version 9.0; Release date: May 01, 2005</t>
  </si>
  <si>
    <t>Updated for financial year 2005-06, corrections and enhancements incorporated</t>
  </si>
  <si>
    <t>Version 8.2; Release date: January 14, 2005</t>
  </si>
  <si>
    <t>Fixed some errors in calculation of HRA exemption, surcharge, section 88D rebate, etc.</t>
  </si>
  <si>
    <t>Version 8.1; Release date: September 18, 2004</t>
  </si>
  <si>
    <t>Updated to include the budget revisions</t>
  </si>
  <si>
    <t>Version 8.0; Release date: May 10, 2004</t>
  </si>
  <si>
    <t>Updated for financial year 2004-05, corrections and enhancements incorporated</t>
  </si>
  <si>
    <t>Version 7.1; Release date: May 08, 2003</t>
  </si>
  <si>
    <t>Updated to correct mistakes in: perquisites calculation, children's education rebate under section 88 and inclusion of interest income in gross income</t>
  </si>
  <si>
    <t>Version 7.0; Release date: April 18, 2003</t>
  </si>
  <si>
    <t>Updated to include the new budget proposals for financial year 2003-04</t>
  </si>
  <si>
    <t>Version 6.5; Release date: March 03, 2003</t>
  </si>
  <si>
    <t>Corrections: Housing loan interest and House/property income/loss was not being accounted correctly. Next year's (Financial year 2003-04) version 7.0 should be out sometime in late April or early May 2003</t>
  </si>
  <si>
    <t>Version 6.4; Release date: February 25, 2003</t>
  </si>
  <si>
    <t>Corrections: Std. deduction calculation, housing interest accounting, LIC SSS accounting, Perks calculation (different interest rates for the 2 loans)</t>
  </si>
  <si>
    <t>Version 6.3; Release date: January 09, 2003</t>
  </si>
  <si>
    <t>Corrections: Problem in tax rebate calculation when the salary is between 1 lac and 2 lacs; Housing loan interest calculation</t>
  </si>
  <si>
    <t>Version 6.2; Release date: January 07, 2003</t>
  </si>
  <si>
    <t>Updated to fix some errors in calculation of Std. deduction, Tax rebate, Vehicle maintenance exemption, Perquisites, etc.</t>
  </si>
  <si>
    <t>Version 6.1; Release date: May 15, 2002</t>
  </si>
  <si>
    <t>Updated to include the changes as passed in the finance bill; Fixed some minor defects</t>
  </si>
  <si>
    <t>Version 6.0; Release date: April 10, 2002</t>
  </si>
  <si>
    <t>Updated to include the new budget proposals for financial year 2002-03</t>
  </si>
  <si>
    <t>This tax calculator can be used to calculate the approximate tax payable by salaried individuals. This should NOT be used to compute the actual taxes to be paid to the Government. The author is not resposible for any inaccuracies in the tax computed by this calculator. If you find any inconsistency, please let me know and I will try to fix it at the earliest</t>
  </si>
  <si>
    <t>Loan/Wdwl</t>
  </si>
  <si>
    <t>Trnspt Exmpt</t>
  </si>
  <si>
    <t>VPF% Effective</t>
  </si>
  <si>
    <t>Amt for PF</t>
  </si>
  <si>
    <t>HRA Exempt</t>
  </si>
  <si>
    <t>PF Bal @ Govt rate</t>
  </si>
  <si>
    <t>HRA Empt limit</t>
  </si>
  <si>
    <t>PF Limit:</t>
  </si>
  <si>
    <t>Govt. Prescribed PF int rate:</t>
  </si>
  <si>
    <t>Housing Loan</t>
  </si>
  <si>
    <t>Vehicle Loan</t>
  </si>
  <si>
    <t>PC
Loan</t>
  </si>
  <si>
    <t>Soft
Loan</t>
  </si>
  <si>
    <t>Salary
Loan</t>
  </si>
  <si>
    <t>Education Loan</t>
  </si>
  <si>
    <t>Phone Loan</t>
  </si>
  <si>
    <t>Marriage
Loan</t>
  </si>
  <si>
    <t>Other
Loan</t>
  </si>
  <si>
    <t>CLA
Loan</t>
  </si>
  <si>
    <t>Original Loan Amount</t>
  </si>
  <si>
    <t>Year starts:</t>
  </si>
  <si>
    <t>Loan Taken In Month/Year</t>
  </si>
  <si>
    <t>Year ends:</t>
  </si>
  <si>
    <t>Loan Closed Month/Year</t>
  </si>
  <si>
    <t>No. of instalments</t>
  </si>
  <si>
    <t>Co. interest rate</t>
  </si>
  <si>
    <t>EMI</t>
  </si>
  <si>
    <t>Second Loan Details (if loan of same type is taken again during the year) -- see Instructions below</t>
  </si>
  <si>
    <t>Prescribed interest rate</t>
  </si>
  <si>
    <t>Differential int - Loan 1</t>
  </si>
  <si>
    <t>Differential int - Loan 2</t>
  </si>
  <si>
    <t>First Loan</t>
  </si>
  <si>
    <t>April</t>
  </si>
  <si>
    <t>June</t>
  </si>
  <si>
    <t>July</t>
  </si>
  <si>
    <t>August</t>
  </si>
  <si>
    <t>September</t>
  </si>
  <si>
    <t>October</t>
  </si>
  <si>
    <t>November</t>
  </si>
  <si>
    <t>December</t>
  </si>
  <si>
    <t>January</t>
  </si>
  <si>
    <t>February</t>
  </si>
  <si>
    <t>March</t>
  </si>
  <si>
    <t>Second Loan</t>
  </si>
  <si>
    <t>Total value of Perquisites for the year</t>
  </si>
  <si>
    <t>Instructions:</t>
  </si>
  <si>
    <t>00000</t>
  </si>
  <si>
    <t>10000000000</t>
  </si>
  <si>
    <t>Prof tax</t>
  </si>
  <si>
    <t>NSC Accrued Interest Calculation</t>
  </si>
  <si>
    <t>Purch. From -&gt;</t>
  </si>
  <si>
    <t>Purch. To -&gt;</t>
  </si>
  <si>
    <t>Interest Rate -&gt;</t>
  </si>
  <si>
    <t>Total Interest</t>
  </si>
  <si>
    <t>Maturity Amount</t>
  </si>
  <si>
    <t>Calendar Year Start:</t>
  </si>
  <si>
    <t>Certificate No.</t>
  </si>
  <si>
    <t>Date of Purchase</t>
  </si>
  <si>
    <t>Amount invested</t>
  </si>
  <si>
    <t>Accrued Interest</t>
  </si>
  <si>
    <t>Total Accrued Interest</t>
  </si>
  <si>
    <t>2. NSCs purchased before or after this date do not accrue interest for this financial year</t>
  </si>
  <si>
    <t>3. Entry of certificate number is optional</t>
  </si>
  <si>
    <r>
      <t>1</t>
    </r>
    <r>
      <rPr>
        <vertAlign val="superscript"/>
        <sz val="8"/>
        <color indexed="12"/>
        <rFont val="Franklin Gothic Book"/>
        <family val="2"/>
      </rPr>
      <t>st</t>
    </r>
    <r>
      <rPr>
        <sz val="8"/>
        <color indexed="12"/>
        <rFont val="Franklin Gothic Book"/>
        <family val="2"/>
      </rPr>
      <t xml:space="preserve"> year</t>
    </r>
  </si>
  <si>
    <r>
      <t>2</t>
    </r>
    <r>
      <rPr>
        <vertAlign val="superscript"/>
        <sz val="8"/>
        <color indexed="12"/>
        <rFont val="Franklin Gothic Book"/>
        <family val="2"/>
      </rPr>
      <t>nd</t>
    </r>
    <r>
      <rPr>
        <sz val="8"/>
        <color indexed="12"/>
        <rFont val="Franklin Gothic Book"/>
        <family val="2"/>
      </rPr>
      <t xml:space="preserve"> year</t>
    </r>
  </si>
  <si>
    <r>
      <t>3</t>
    </r>
    <r>
      <rPr>
        <vertAlign val="superscript"/>
        <sz val="8"/>
        <color indexed="12"/>
        <rFont val="Franklin Gothic Book"/>
        <family val="2"/>
      </rPr>
      <t>rd</t>
    </r>
    <r>
      <rPr>
        <sz val="8"/>
        <color indexed="12"/>
        <rFont val="Franklin Gothic Book"/>
        <family val="2"/>
      </rPr>
      <t xml:space="preserve"> year</t>
    </r>
  </si>
  <si>
    <r>
      <t>4</t>
    </r>
    <r>
      <rPr>
        <vertAlign val="superscript"/>
        <sz val="8"/>
        <color indexed="12"/>
        <rFont val="Franklin Gothic Book"/>
        <family val="2"/>
      </rPr>
      <t>th</t>
    </r>
    <r>
      <rPr>
        <sz val="8"/>
        <color indexed="12"/>
        <rFont val="Franklin Gothic Book"/>
        <family val="2"/>
      </rPr>
      <t xml:space="preserve"> year</t>
    </r>
  </si>
  <si>
    <r>
      <t>5</t>
    </r>
    <r>
      <rPr>
        <vertAlign val="superscript"/>
        <sz val="8"/>
        <color indexed="12"/>
        <rFont val="Franklin Gothic Book"/>
        <family val="2"/>
      </rPr>
      <t>th</t>
    </r>
    <r>
      <rPr>
        <sz val="8"/>
        <color indexed="12"/>
        <rFont val="Franklin Gothic Book"/>
        <family val="2"/>
      </rPr>
      <t xml:space="preserve"> year</t>
    </r>
  </si>
  <si>
    <r>
      <t xml:space="preserve">HRA exemption = minimum of (40% </t>
    </r>
    <r>
      <rPr>
        <sz val="8"/>
        <color indexed="55"/>
        <rFont val="Franklin Gothic Book"/>
        <family val="2"/>
      </rPr>
      <t>(50% for metros)</t>
    </r>
    <r>
      <rPr>
        <sz val="8"/>
        <rFont val="Franklin Gothic Book"/>
        <family val="2"/>
      </rPr>
      <t xml:space="preserve"> of Basic+DA </t>
    </r>
    <r>
      <rPr>
        <sz val="8"/>
        <color indexed="12"/>
        <rFont val="Franklin Gothic Book"/>
        <family val="2"/>
      </rPr>
      <t>or</t>
    </r>
    <r>
      <rPr>
        <sz val="8"/>
        <rFont val="Franklin Gothic Book"/>
        <family val="2"/>
      </rPr>
      <t xml:space="preserve"> HRA </t>
    </r>
    <r>
      <rPr>
        <sz val="8"/>
        <color indexed="12"/>
        <rFont val="Franklin Gothic Book"/>
        <family val="2"/>
      </rPr>
      <t>or</t>
    </r>
    <r>
      <rPr>
        <sz val="8"/>
        <rFont val="Franklin Gothic Book"/>
        <family val="2"/>
      </rPr>
      <t xml:space="preserve"> rent paid - 10% of Basic+DA)</t>
    </r>
  </si>
  <si>
    <r>
      <t xml:space="preserve">If you are already on my list and no longer want to get updates, send a blank e-mail to </t>
    </r>
    <r>
      <rPr>
        <b/>
        <sz val="8"/>
        <rFont val="Franklin Gothic Book"/>
        <family val="2"/>
      </rPr>
      <t>taxcalc@ynithya.com</t>
    </r>
    <r>
      <rPr>
        <sz val="8"/>
        <rFont val="Franklin Gothic Book"/>
        <family val="2"/>
      </rPr>
      <t xml:space="preserve"> with only the subject as "</t>
    </r>
    <r>
      <rPr>
        <b/>
        <sz val="8"/>
        <color indexed="12"/>
        <rFont val="Franklin Gothic Book"/>
        <family val="2"/>
      </rPr>
      <t>UNSUBSCRIBE</t>
    </r>
    <r>
      <rPr>
        <sz val="8"/>
        <rFont val="Franklin Gothic Book"/>
        <family val="2"/>
      </rPr>
      <t>"</t>
    </r>
  </si>
  <si>
    <t>Version 9.1; Release date: July 29, 2005</t>
  </si>
  <si>
    <t>Updated to include the budget revisions, NSC interest calculation error corrected, Surcharge calculation fixed</t>
  </si>
  <si>
    <t>Updated for FY 2007-08. Reformatted to include more heads for income &amp; deductions</t>
  </si>
  <si>
    <t>Depending on your company policy, change cells C4 to C20 to select elements of your salary that count towards calculation of PF</t>
  </si>
  <si>
    <t>Enter expected bonus in Cell R21, if bonus for the year has not been paid yet. If paid, enter the actual amount</t>
  </si>
  <si>
    <t>Enter any other earnings related to salary in cell S21</t>
  </si>
  <si>
    <t>Version 10.0; Release date: March 25, 2007</t>
  </si>
  <si>
    <t>Income chargeable under head 'House/Property'</t>
  </si>
  <si>
    <t>Income chargeable under head 'Other Sources'</t>
  </si>
  <si>
    <t>Income chargeable under head 'Capital Gains' at nominal rate</t>
  </si>
  <si>
    <t>Price</t>
  </si>
  <si>
    <t>Date</t>
  </si>
  <si>
    <t>Purchase</t>
  </si>
  <si>
    <t>Selling</t>
  </si>
  <si>
    <t>Gains</t>
  </si>
  <si>
    <t>Financial Year Start:</t>
  </si>
  <si>
    <t>Financial Year End:</t>
  </si>
  <si>
    <t>LT/
ST</t>
  </si>
  <si>
    <t>1. Enter details of all stocks sold during the current financial year</t>
  </si>
  <si>
    <t xml:space="preserve">     may be entered in rows 14 through 20</t>
  </si>
  <si>
    <t>Perquisites Value of Loans Taken from the Company</t>
  </si>
  <si>
    <t>Fixed some errors in PF calculation and perquisites valuation, added Capital Gains Tax calculation</t>
  </si>
  <si>
    <t>Version 10.1; Release date: April 11, 2007</t>
  </si>
  <si>
    <t>500001</t>
  </si>
  <si>
    <t>Updated for FY 2008-09</t>
  </si>
  <si>
    <t>STCG</t>
  </si>
  <si>
    <t>LTCG</t>
  </si>
  <si>
    <t>Version 11.0; Release date: April 14, 2008</t>
  </si>
  <si>
    <t xml:space="preserve">        Is the permanent physical disability severe (&gt;80%)? (Y or N)</t>
  </si>
  <si>
    <t>LT</t>
  </si>
  <si>
    <t>ST</t>
  </si>
  <si>
    <t>Total Short Term Gains</t>
  </si>
  <si>
    <t>Total Long Term Gains</t>
  </si>
  <si>
    <t>Total Capital Gains</t>
  </si>
  <si>
    <t>Sell dt validn</t>
  </si>
  <si>
    <t>2. Only stocks sold through a recognized stock exchange where the Securities Transaction Tax (STT) is paid should be entered</t>
  </si>
  <si>
    <t>Uniform All.</t>
  </si>
  <si>
    <t>You can change the headings for the 10 "Misc" earnings and the 9 "Oth Ded" deductions columns to suit your salary structure</t>
  </si>
  <si>
    <r>
      <t xml:space="preserve">Rent can be entered in cells D26 to O26, if deducted through salary; Otherwise enter annual figure in Q26 to S26. </t>
    </r>
    <r>
      <rPr>
        <b/>
        <sz val="8"/>
        <rFont val="Franklin Gothic Book"/>
        <family val="2"/>
      </rPr>
      <t>If you enter rent amount in any cell between D26 to O26, do not enter any amount in cells Q26 to S26 and vice-versa</t>
    </r>
  </si>
  <si>
    <t>Uniform allowance is exempt to the extent of bills produced for purchase of uniforms</t>
  </si>
  <si>
    <t>Residents of Sikkim are exempt from Income Tax</t>
  </si>
  <si>
    <t>Version 12.0; Release date: August 02, 2009</t>
  </si>
  <si>
    <t>Updated for FY 2009-10 based on budget proposals. Fixed some errors</t>
  </si>
  <si>
    <t>If you have taken company loans at discounted interest rates, please enter the details in the sheet "Perquisites"</t>
  </si>
  <si>
    <t>Updated for FY 2010-11 based on budget proposals</t>
  </si>
  <si>
    <t>Children's Education Tuition Fees (sec 80C)</t>
  </si>
  <si>
    <t xml:space="preserve">    Dependents have permanent physical disability (&gt;80%)? (Y or N)</t>
  </si>
  <si>
    <t>Co. Car used?</t>
  </si>
  <si>
    <t xml:space="preserve">    Does company bear running/maint expenses for car? (Y or N)</t>
  </si>
  <si>
    <t>Co. Car driver?</t>
  </si>
  <si>
    <t>Accommodation &amp; Car Perquisites</t>
  </si>
  <si>
    <t xml:space="preserve">    HRA Exempt limit (of Basic+DA)</t>
  </si>
  <si>
    <t xml:space="preserve">        Vehicle cubic capacity &gt; 1600cc? (Y or N)</t>
  </si>
  <si>
    <t>If you have been out of India during the year, update cells D46 to O46 so that conveyance exemption is computed correctly</t>
  </si>
  <si>
    <t>Other exemptions entered in cell N53 is not validated. So, please be sure about the amount entered</t>
  </si>
  <si>
    <t>Version 13.0; Release date: April 20, 2010</t>
  </si>
  <si>
    <t>As per clarification from IT department, all perquisites such as rent-free accommodation, company provided car, free or concessional education facilities, employee stock option plan, free club membership, company provided credit card, gift vouchers, meal coupons, hotel stay beyond 15 days, are fully taxable. This tax calculator calculates the tax incidence for accommodation and car. If you receive any other perquisite, please include the value of such perquisite in cell S21</t>
  </si>
  <si>
    <t>Update the earnings (cells D3 to O20) with expected earnings during the year. On the deductions side, enter the expected rent payment, Profession Tax and Life Insurance Salary deduction details for all months.</t>
  </si>
  <si>
    <t>Updated for FY 2011-12 based on budget proposals</t>
  </si>
  <si>
    <t>Version 14.0; Release date: May 20, 2011</t>
  </si>
  <si>
    <t>Housing loan principal repayment, regn/stamp duty (sec 80C)</t>
  </si>
  <si>
    <t>1000000</t>
  </si>
  <si>
    <t>1000001</t>
  </si>
  <si>
    <t>Quantity</t>
  </si>
  <si>
    <t>Brokerage</t>
  </si>
  <si>
    <t>3. The above could also be used for equity mutual funds</t>
  </si>
  <si>
    <t>Version 15.0; Release date: May 06, 2012</t>
  </si>
  <si>
    <t>4. You can change the headings of the loans, if required. However, remember to change the corresponding "prescribed interest rate" in Row 23 as well.</t>
  </si>
  <si>
    <r>
      <t xml:space="preserve">If you find any inaccuracy in the calculation or want clarification on some aspect of the tax calculator, please send an e-mail with the details of your query to </t>
    </r>
    <r>
      <rPr>
        <b/>
        <sz val="8"/>
        <rFont val="Franklin Gothic Book"/>
        <family val="2"/>
      </rPr>
      <t>taxcalc@ynithya.com</t>
    </r>
    <r>
      <rPr>
        <sz val="8"/>
        <rFont val="Franklin Gothic Book"/>
        <family val="2"/>
      </rPr>
      <t xml:space="preserve"> with subject as "</t>
    </r>
    <r>
      <rPr>
        <b/>
        <sz val="8"/>
        <color indexed="12"/>
        <rFont val="Franklin Gothic Book"/>
        <family val="2"/>
      </rPr>
      <t>CLARIFICATION</t>
    </r>
    <r>
      <rPr>
        <sz val="8"/>
        <rFont val="Franklin Gothic Book"/>
        <family val="2"/>
      </rPr>
      <t>" and I will try to reply within a week</t>
    </r>
  </si>
  <si>
    <t>(Only for Stocks bought/sold through a Stock Exchange and where STT is paid, and for equity mutual funds)</t>
  </si>
  <si>
    <t>Updated for FY 2012-13 based on budget</t>
  </si>
  <si>
    <t>Updated to remove long-term infrastructure bonds from the list of exemptions</t>
  </si>
  <si>
    <t>Version 15.1; Release date: Jun 10, 2012</t>
  </si>
  <si>
    <t>Version 16.0; Release date: May 25, 2013</t>
  </si>
  <si>
    <t>Updated for FY 2013-14 based on budget</t>
  </si>
  <si>
    <t>Surcharge on Income Tax</t>
  </si>
  <si>
    <t>Financial Year</t>
  </si>
  <si>
    <t>1981-82</t>
  </si>
  <si>
    <t>1982-83</t>
  </si>
  <si>
    <t>1983-84</t>
  </si>
  <si>
    <t>1984-85</t>
  </si>
  <si>
    <t>1985-86</t>
  </si>
  <si>
    <t>1986-87</t>
  </si>
  <si>
    <t>1987-88</t>
  </si>
  <si>
    <t>1988-89</t>
  </si>
  <si>
    <t>1989-90</t>
  </si>
  <si>
    <t>1990-91</t>
  </si>
  <si>
    <t>1991-92</t>
  </si>
  <si>
    <t>1992-93</t>
  </si>
  <si>
    <t>1993-94</t>
  </si>
  <si>
    <t>1994-95</t>
  </si>
  <si>
    <t>1995-96</t>
  </si>
  <si>
    <t>1996-97</t>
  </si>
  <si>
    <t>1997-98</t>
  </si>
  <si>
    <t>1998-99</t>
  </si>
  <si>
    <t>2001-02</t>
  </si>
  <si>
    <t>2002-03</t>
  </si>
  <si>
    <t>2003-04</t>
  </si>
  <si>
    <t>2004-05</t>
  </si>
  <si>
    <t>2005-06</t>
  </si>
  <si>
    <t>2006-07</t>
  </si>
  <si>
    <t>2007-08</t>
  </si>
  <si>
    <t>2008-09</t>
  </si>
  <si>
    <t>2009-10</t>
  </si>
  <si>
    <t>2010-11</t>
  </si>
  <si>
    <t>2011-12</t>
  </si>
  <si>
    <t>2012-13</t>
  </si>
  <si>
    <t>1999-00</t>
  </si>
  <si>
    <t>2000-01</t>
  </si>
  <si>
    <t>2013-14</t>
  </si>
  <si>
    <t>Savings Bank interest</t>
  </si>
  <si>
    <t>Deduction for permanent disability (sec 80U)</t>
  </si>
  <si>
    <t>Any other deductions (incl. donations u/s 35AC/80GGA)</t>
  </si>
  <si>
    <t>Medical for handicapped dependents (sec 80DD)</t>
  </si>
  <si>
    <t>Medical for specified diseases (sec 80DDB)</t>
  </si>
  <si>
    <t>Higher Education Loan Interest Repayment (sec 80E)</t>
  </si>
  <si>
    <t>HRA Exemption (sec 10 (13A))</t>
  </si>
  <si>
    <t>Transport Exemption (sec 10(14))</t>
  </si>
  <si>
    <t>Other exemptions under sec 10 (10) (gratuity, etc.)</t>
  </si>
  <si>
    <t>LTA exemption (sec 10(5))</t>
  </si>
  <si>
    <t>Uniform expenses (sec 10(14))</t>
  </si>
  <si>
    <t>Name:</t>
  </si>
  <si>
    <t>Dt. Of birth:</t>
  </si>
  <si>
    <t>Sr. citizen:</t>
  </si>
  <si>
    <t>Very sr. citizen:</t>
  </si>
  <si>
    <t>Sr. Citizen?</t>
  </si>
  <si>
    <t>Very Sr. citizen?</t>
  </si>
  <si>
    <t>Version 17.0; Release date: Apr 27, 2014</t>
  </si>
  <si>
    <t>Updated for FY 2014-15, some enhancements</t>
  </si>
  <si>
    <t>HRA exemption is calculated on monthly basis and added up, which may not always be correct if your HRA, Rent or Basic+DA change month on month. In such cases, and if you have not moved from a metro to non-metro or vice-versa in the middle of the year, enter the rent only in cells Q26 to S26 and NOT in cells D26 to O26. This will calculate the exemption on the total basis instead of monthly basis</t>
  </si>
  <si>
    <t>Available for free download at: http://taxcalc.ynithya.com/</t>
  </si>
  <si>
    <t>The latest version of this tool is available for free download from the Internet at http://taxcalc.ynithya.com/</t>
  </si>
  <si>
    <t>Children's Education allowance is exempt upto ₹ 100/- per child per month plus ₹ 300/- per child per month for hostel expenses (max of 2 children only)</t>
  </si>
  <si>
    <r>
      <t xml:space="preserve">Please enter your name </t>
    </r>
    <r>
      <rPr>
        <b/>
        <sz val="8"/>
        <rFont val="Franklin Gothic Book"/>
        <family val="2"/>
      </rPr>
      <t xml:space="preserve">and Date of Birth </t>
    </r>
    <r>
      <rPr>
        <sz val="8"/>
        <rFont val="Franklin Gothic Book"/>
        <family val="2"/>
      </rPr>
      <t>above to calculate taxes correctly (date of birth is required to calculate senior citizenship)</t>
    </r>
  </si>
  <si>
    <t>2014-15</t>
  </si>
  <si>
    <t>Yr begin</t>
  </si>
  <si>
    <t>(For houses, flats, plots, etc.)</t>
  </si>
  <si>
    <t>Capital Gains Tax Calculation - Equity</t>
  </si>
  <si>
    <t>1. Enter details of property sold during the current financial year</t>
  </si>
  <si>
    <t>You can enter details of Stocks sold during the year in the "Capital Gains - Equity" sheet to calculate the tax applicable</t>
  </si>
  <si>
    <t>Version 17.1; Release date: Jul 22, 2014</t>
  </si>
  <si>
    <t>Scrip/MF Name</t>
  </si>
  <si>
    <t>You can enter details of Property and Debt Mutual Funds sold during the year in the "Cap Gains - Property&amp;Debt MF" sheet</t>
  </si>
  <si>
    <t>Updated based on final budget for FY 2014-15, added Capital Gains calculation for Property and Debt Mutual Funds sale</t>
  </si>
  <si>
    <t>4. Capital loss can be carried forward for up to 8 years to net off against Capital Gains</t>
  </si>
  <si>
    <t>3. Short term capital gains are added to the "income" and tax calculated at applicable rates</t>
  </si>
  <si>
    <t>2. Include registration/stamp duty (for property) and brokerage (for MF) expenses in the Purchase price</t>
  </si>
  <si>
    <t>5. Long term loss can be offset against only long term gain, while short term loss can be offset against either short term of long term gain in future</t>
  </si>
  <si>
    <t>Capital Gains Calculation - Property</t>
  </si>
  <si>
    <t>Capital Gains Calculation - Debt Mutual Funds</t>
  </si>
  <si>
    <t>Property Details</t>
  </si>
  <si>
    <t>Mutual Fund Details</t>
  </si>
  <si>
    <t>Net Short Term Gains - Property</t>
  </si>
  <si>
    <t>Net Long Term Gains - Property</t>
  </si>
  <si>
    <t>Net Short Term Gains - Debt</t>
  </si>
  <si>
    <t>Net Long Term Gains - Debt</t>
  </si>
  <si>
    <t>Version 17.2; Release date: Aug 24, 2014</t>
  </si>
  <si>
    <t>Error in NSC accrued interest corrected</t>
  </si>
  <si>
    <t>Version 17.3; Release date: Nov 22, 2014</t>
  </si>
  <si>
    <t>PF limits changed from Sept</t>
  </si>
  <si>
    <t>Updated for FY 2015-16</t>
  </si>
  <si>
    <t>Version 18.0; Release date: May 10, 2015</t>
  </si>
  <si>
    <t>If you have a permanent physical disability, you can take an exemption of up to ₹ 75,000/- per year and ₹ 1,25,000 in case of severe disability</t>
  </si>
  <si>
    <t>Deduction in respect of medical treatment of handicapped dependents is limited to ₹ 75,000/- per year if the disability is less than 80% and ₹ 1,25,000/- per year if the disability is more than 80%</t>
  </si>
  <si>
    <t>Interest repayment on education loan (taken for higher education from a university for self, spouse &amp; children) is tax exempt from the 1st year of repayment up to a maximum of 8 years. There is no exemption for Principal payment</t>
  </si>
  <si>
    <r>
      <t xml:space="preserve">If you want to receive an automatic message whenever a major version is released, please send a blank e-mail to </t>
    </r>
    <r>
      <rPr>
        <b/>
        <sz val="8"/>
        <rFont val="Franklin Gothic Book"/>
        <family val="2"/>
      </rPr>
      <t>taxcalc@ynithya.com</t>
    </r>
    <r>
      <rPr>
        <sz val="8"/>
        <rFont val="Franklin Gothic Book"/>
        <family val="2"/>
      </rPr>
      <t xml:space="preserve"> with only the subject as "</t>
    </r>
    <r>
      <rPr>
        <b/>
        <sz val="8"/>
        <color indexed="12"/>
        <rFont val="Franklin Gothic Book"/>
        <family val="2"/>
      </rPr>
      <t>SUBSCRIBE</t>
    </r>
    <r>
      <rPr>
        <sz val="8"/>
        <rFont val="Franklin Gothic Book"/>
        <family val="2"/>
      </rPr>
      <t>". There are no charges for subscription</t>
    </r>
  </si>
  <si>
    <t>Version 19.0; Release date: May 1, 2016</t>
  </si>
  <si>
    <t>If you do not get HRA, but have rented a house, an exemption is available. This will be calculated as minimum of (25% of total income or rent paid - 10% of total income or ₹ 60,000/- per year)</t>
  </si>
  <si>
    <t>2015-16</t>
  </si>
  <si>
    <t>PPF, Pension scheme, Sukanya Samriddhi scheme, etc.</t>
  </si>
  <si>
    <r>
      <t xml:space="preserve">    </t>
    </r>
    <r>
      <rPr>
        <b/>
        <sz val="8"/>
        <color rgb="FF0070C0"/>
        <rFont val="Franklin Gothic Book"/>
        <family val="2"/>
      </rPr>
      <t>M</t>
    </r>
    <r>
      <rPr>
        <sz val="8"/>
        <color rgb="FF0070C0"/>
        <rFont val="Franklin Gothic Book"/>
        <family val="2"/>
      </rPr>
      <t>etro/</t>
    </r>
    <r>
      <rPr>
        <b/>
        <sz val="8"/>
        <color rgb="FF0070C0"/>
        <rFont val="Franklin Gothic Book"/>
        <family val="2"/>
      </rPr>
      <t>N</t>
    </r>
    <r>
      <rPr>
        <sz val="8"/>
        <color rgb="FF0070C0"/>
        <rFont val="Franklin Gothic Book"/>
        <family val="2"/>
      </rPr>
      <t>on-metro (M or N)</t>
    </r>
  </si>
  <si>
    <r>
      <t xml:space="preserve">    VPF as "</t>
    </r>
    <r>
      <rPr>
        <b/>
        <sz val="8"/>
        <color rgb="FF0070C0"/>
        <rFont val="Franklin Gothic Book"/>
        <family val="2"/>
      </rPr>
      <t>P</t>
    </r>
    <r>
      <rPr>
        <sz val="8"/>
        <color rgb="FF0070C0"/>
        <rFont val="Franklin Gothic Book"/>
        <family val="2"/>
      </rPr>
      <t>ercentage of salary" or "</t>
    </r>
    <r>
      <rPr>
        <b/>
        <sz val="8"/>
        <color rgb="FF0070C0"/>
        <rFont val="Franklin Gothic Book"/>
        <family val="2"/>
      </rPr>
      <t>F</t>
    </r>
    <r>
      <rPr>
        <sz val="8"/>
        <color rgb="FF0070C0"/>
        <rFont val="Franklin Gothic Book"/>
        <family val="2"/>
      </rPr>
      <t>ixed amount"? (P or F)</t>
    </r>
  </si>
  <si>
    <t>Updated for FY 2016-17, fixed colors for viewability on Mac</t>
  </si>
  <si>
    <t>Version 19.1; Release date: Jul 3, 2016</t>
  </si>
  <si>
    <t>Cost inflation index updated</t>
  </si>
  <si>
    <t>2016-17</t>
  </si>
  <si>
    <t>Version 20.0; Release date: May 1, 2017</t>
  </si>
  <si>
    <t>CII</t>
  </si>
  <si>
    <t>auto Copyright:</t>
  </si>
  <si>
    <t>National Pension scheme - Employer Contribution (sec 80CCD(2))</t>
  </si>
  <si>
    <t>National Pension scheme - Employee Contribution (sec 80CCD(1))</t>
  </si>
  <si>
    <t>&gt;25lacs</t>
  </si>
  <si>
    <t>Car allow</t>
  </si>
  <si>
    <t>CII start:</t>
  </si>
  <si>
    <t>Updated for FY 2017-18, Fixed car perquisites calculation, NPS added</t>
  </si>
  <si>
    <t>This tax calculator constantly gets updated to fix errors as well as to add new features</t>
  </si>
  <si>
    <r>
      <t xml:space="preserve">You can also send a blank e-mail to </t>
    </r>
    <r>
      <rPr>
        <b/>
        <sz val="8"/>
        <rFont val="Franklin Gothic Book"/>
        <family val="2"/>
      </rPr>
      <t>taxcalc@ynithya.com</t>
    </r>
    <r>
      <rPr>
        <sz val="8"/>
        <rFont val="Franklin Gothic Book"/>
        <family val="2"/>
      </rPr>
      <t xml:space="preserve"> with only the subject line as "</t>
    </r>
    <r>
      <rPr>
        <b/>
        <sz val="8"/>
        <color indexed="12"/>
        <rFont val="Franklin Gothic Book"/>
        <family val="2"/>
      </rPr>
      <t>SEND TAXCALC</t>
    </r>
    <r>
      <rPr>
        <sz val="8"/>
        <rFont val="Franklin Gothic Book"/>
        <family val="2"/>
      </rPr>
      <t>" and the latest version of tax calculator will be e-mailed to you within a couple of days</t>
    </r>
  </si>
  <si>
    <t>While sending e-mail, please ensure that the subject line is exactly as given here (without the quotes), because the processing is done automatically. Other mails are deleted automatically</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</si>
  <si>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</si>
  <si>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</si>
  <si>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</si>
  <si>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</si>
  <si>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</si>
  <si>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</si>
  <si>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</si>
  <si>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</si>
  <si>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</si>
  <si>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</si>
  <si>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</si>
  <si>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</si>
  <si>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</si>
  <si>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</si>
  <si>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</si>
  <si>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</si>
  <si>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</si>
  <si>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</si>
  <si>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</si>
  <si>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</si>
  <si>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</si>
  <si>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</si>
  <si>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</si>
  <si>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</si>
  <si>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</si>
  <si>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</si>
  <si>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</si>
  <si>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</si>
  <si>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</si>
  <si>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</si>
  <si>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</si>
  <si>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</si>
  <si>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</si>
  <si>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</si>
  <si>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</si>
  <si>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</si>
  <si>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2017-18</t>
  </si>
  <si>
    <t>(For debt mutual funds/bonds, Gold and Equity where STT is not paid)</t>
  </si>
  <si>
    <t>Version 20.1; Release date: Sep 24, 2017</t>
  </si>
  <si>
    <t>Standard Deduction</t>
  </si>
  <si>
    <t>Health &amp; Education Cess</t>
  </si>
  <si>
    <t>Sl. No.</t>
  </si>
  <si>
    <t>Notes</t>
  </si>
  <si>
    <t>Bank deposit Interest</t>
  </si>
  <si>
    <t>Other income (excluding. SB &amp; bank deposit int)</t>
  </si>
  <si>
    <t>HL int exmpt limit:</t>
  </si>
  <si>
    <t>Total income:</t>
  </si>
  <si>
    <t>Capital Gains Tax (taxable @ 20%)</t>
  </si>
  <si>
    <t>Capital Gains Tax (taxable @ 15%)</t>
  </si>
  <si>
    <t>(you can write your own notes here for your reference)</t>
  </si>
  <si>
    <t xml:space="preserve">        If living in Co. acco, population of your city as per 2011 census</t>
  </si>
  <si>
    <t>Enter the remaining months in current financial year in Cell G83, to figure out the tax per month</t>
  </si>
  <si>
    <t>You can enter the details of NSC's purchased during the last 4 years in the "NSC Accrued Interest" sheet to calculate the accrued interest automatically. This interest is exempt under sec 80C. This interest is also taxable either on accrual basis every year or when received</t>
  </si>
  <si>
    <t>Medical Insurance (such as Mediclaim) premium is exempt upto ₹ 25,000/- per year for self, spouse &amp; dependent children. Within this limit, ₹ 5,000/- could be used for preventive health check expenses. An additional ₹ 25,000/- is exempt towards premium for parents (even if they are not dependent). If the parent(s) are above 65 years of age, an extra ₹ 25,000/- can be claimed</t>
  </si>
  <si>
    <t>Deduction in respect of medical treatment for specified ailments or diseases for the assesse or dependent can be claimed upto ₹ 40,000/- per year. If the person being treated is a senior citizen, the exemption can go up to ₹ 100,000/-</t>
  </si>
  <si>
    <t>Interest from Savings bank account is exempt up to ₹ 10,000/- per year. For senior citizens, all interest income (including FD, RD, etc.) is exempt up to ₹ 50,000/- per year</t>
  </si>
  <si>
    <t>Updated for FY 2018-19, fixed errors related to surcharge and housing loan</t>
  </si>
  <si>
    <t>Version 21.0; Release date: May 5, 2018</t>
  </si>
  <si>
    <t>2018-19</t>
  </si>
  <si>
    <t>Version 21.1; Release date: Jul 1, 2018</t>
  </si>
  <si>
    <t>House/property income (rent, etc.)</t>
  </si>
  <si>
    <t xml:space="preserve">    Sr. citizen included in self/spouse/children med insur prem? (Y or N)</t>
  </si>
  <si>
    <t>Updated for FY 2019-20; fixed minor errors</t>
  </si>
  <si>
    <t>Med Insur Prem / expenses / health chk (parents) (sec 80D)</t>
  </si>
  <si>
    <t xml:space="preserve">    Sr. citizen included in parent med insur prem / expenses? (Y or N)</t>
  </si>
  <si>
    <t>Insurance premium &amp; others (MF, ULIP, FD, ELSS, SS, etc.) (sec 80C)</t>
  </si>
  <si>
    <t>Income taxable @ 10% (LT EQ):</t>
  </si>
  <si>
    <t>Income taxable @ 15% (ST EQ):</t>
  </si>
  <si>
    <t>Income taxable @ 20% (LT DBT):</t>
  </si>
  <si>
    <t>Income taxable @ 30% (ST DBT):</t>
  </si>
  <si>
    <t>Income taxable @ 30% (non-CG):</t>
  </si>
  <si>
    <t>STCL</t>
  </si>
  <si>
    <t>LTCL</t>
  </si>
  <si>
    <t>Enter any capital gains that are taxable at nominal tax rate (Stocks sold outside of registered stock exchanges, for example) in cell N65</t>
  </si>
  <si>
    <t>If you have rented out your house, enter the total rent income from the house (after deducting property tax and 30% of rent as standard maintenance expenses) in cell N59. If you have taken loan for the house, enter the interest component in cell N60</t>
  </si>
  <si>
    <t>Version 22.0; Release date: May 5, 2019</t>
  </si>
  <si>
    <t>income</t>
  </si>
  <si>
    <t>rate</t>
  </si>
  <si>
    <t xml:space="preserve">    First electric vehicle AND loan taken in 2019-2023? (Y or N)</t>
  </si>
  <si>
    <t>Updated based on final budget for FY 2019-20, Error in NSC accrued interest corrected</t>
  </si>
  <si>
    <t>Version 22.1; Release date: Aug 18, 2019</t>
  </si>
  <si>
    <t>Updated for FY 2020-21; fixed minor errors</t>
  </si>
  <si>
    <t>Old tax rates</t>
  </si>
  <si>
    <t>New tax rates</t>
  </si>
  <si>
    <t>Dividends from stocks and MFs</t>
  </si>
  <si>
    <t>Interest on electric vehicle (for tax exemption) (sec 80EEB)</t>
  </si>
  <si>
    <t>Dividends from Indian companies and MFs</t>
  </si>
  <si>
    <t xml:space="preserve">    PF limited to ₹ (if there is a max. limit for deduction)</t>
  </si>
  <si>
    <t>Superannuation fund - Employer Contribution</t>
  </si>
  <si>
    <t>Taxable PF, NPS, Superannuation</t>
  </si>
  <si>
    <t>Taxable PF:</t>
  </si>
  <si>
    <t>Taxable NPS:</t>
  </si>
  <si>
    <t>Taxable Superann:</t>
  </si>
  <si>
    <t>Overall taxable:</t>
  </si>
  <si>
    <t>Total:</t>
  </si>
  <si>
    <t>Tx credit</t>
  </si>
  <si>
    <t>Capital Gains Tax (taxable @ 10%)</t>
  </si>
  <si>
    <t>Old scheme</t>
  </si>
  <si>
    <t>New scheme</t>
  </si>
  <si>
    <t>Tax on Income</t>
  </si>
  <si>
    <t>Tax credit (Sec 87A)</t>
  </si>
  <si>
    <t>old</t>
  </si>
  <si>
    <t>new</t>
  </si>
  <si>
    <t>2019-20</t>
  </si>
  <si>
    <t>Do not leave any yellow cell (that expects numbers) blank. This may lead to incorrect calculation. Enter 0 instead</t>
  </si>
  <si>
    <t>Enter all dividends received from stocks of Indian companies as well as Mutual Funds in cell N63</t>
  </si>
  <si>
    <t>Investments up to 1.5 lac in PF, VFP, PPF, Insurance Premium, Housing loan principal repayment, Stamp duty/registration charges for purchase of new home, NSC, ELSS, long term bank Fixed Deposit, Post Office Term Deposit, New Pension Scheme, Sukanya Samriddhi Scheme, etc. are deductible from the taxable income under sec 80C. There is no limit on individual items, so all 1.5 lac can be invested in NSC, for example. An additional ₹ 50,000 exemption is available for employee contribution to New Pension Scheme</t>
  </si>
  <si>
    <t>Car allow exempt</t>
  </si>
  <si>
    <t>Car perks-co car</t>
  </si>
  <si>
    <t>Car perks-self car</t>
  </si>
  <si>
    <t>Gratuity (max. 20 lac) , VRS (max. 5 lacs) and some such amounts are exempt upto certain limits. If you get any such payment, please find out the exact limit for you from a tax consultant and enter in cell N53</t>
  </si>
  <si>
    <t>Version 23.0; Release date: Apr 24, 2020</t>
  </si>
  <si>
    <t>Version 23.1; Release date: Jun 7, 2020</t>
  </si>
  <si>
    <t>Fixed some errors (superannuation exemption, conveyance exemption, capital gains calculation)</t>
  </si>
  <si>
    <t>2020-21</t>
  </si>
  <si>
    <t>50% without limit</t>
  </si>
  <si>
    <t>100% without limit</t>
  </si>
  <si>
    <t>50% with limit</t>
  </si>
  <si>
    <t>100% with limit</t>
  </si>
  <si>
    <t>*Please check which category your donations fall in</t>
  </si>
  <si>
    <t>Donations to certain charities are tax exempt to the tune of 50% or 100% of donation with a qualifying limit of 10% of salary or without limit. Please find out which category your donation falls into and enter in cells S51 to S54</t>
  </si>
  <si>
    <t>The orange colored cells (with dark red text) constitute the setup parameters, which you may have to set only once. Ensure that all setup parameters in cells  C4 to C20 and AB51 to AB75 are setup prior to using the calculator</t>
  </si>
  <si>
    <t>If you are in Delhi, Mumbai, Kolkata or Chennai, change the location to Metro in Cell AB51. If you have moved from a metro to non-metro or vice-versa during the year, change the cells D47 to O47</t>
  </si>
  <si>
    <t>Enter the PF deduction percentage in cell AB54 depending on your company policy. In addition, if your company limits the PF to a certain amount, enter that amount in cell AB55. If there is no PF deduction, enter 0% in cell AB54. If the PF percentage changes during the year (due to change in employer or otherwise), change cells D48 to O48</t>
  </si>
  <si>
    <t>If you have opted for VPF (Voluntary Provident Fund), change cell AB58 depending on whether the deduction is done as a percentage of salary or as a fixed amount. If percentage, enter percentage in cell AB56. This will apply same percentage throughout the year. If percentage changes month to month, enter the percentage for each month in cells D43 to O43 (If you leave any of these cells at 0, the default percentage from cell AB56 will be taken for that month). If the deduction is a fixed amount, enter the amount for each month in cells D43 to O43</t>
  </si>
  <si>
    <t>If you are claiming exemption for medical insurance that includes premium for self, spouse or children over 65 years, change cell AB64</t>
  </si>
  <si>
    <t>If you are claiming exemption for medical insurance that includes premium for dependent parents over 65 years, change cell AB65</t>
  </si>
  <si>
    <t>If you are claiming exemption for medical treatment for specific diseases for a dependent over 65 years, change cell AB66</t>
  </si>
  <si>
    <t>If any of your dependents have severe (&gt;80%) permanent physical disability, change cell AB67</t>
  </si>
  <si>
    <t>If you have a permanent physical disability, change cell AB68 and AB69</t>
  </si>
  <si>
    <t>If you live in company-provided house, change cell AB70 and AB71; 15% of salary will be added as perks for cities with more than 25 lacs population (as per 2011 census), 10% for cities with population of 15 lacs to 25 lacs, and 7.5% for other cities. If rent has been paid (cells D26 to O26), the same will be deducted from this perks amount</t>
  </si>
  <si>
    <t>If you are using company provided car for both official and personal use, update cells D44 to O44. If the company also provides driver, update cells D45 to O45. If company bears the running and maintenance expenses for the car, update cell AB72. Also update the size of the car in cell AB73 (in terms of engine cubic capacity)</t>
  </si>
  <si>
    <t>Donations (sec 80G)</t>
  </si>
  <si>
    <t>Updated Cost inflation index, sec 80G donations enhanced, fixed some errors, showing monthly tax under both schemes</t>
  </si>
  <si>
    <t>Version 23.2; Release date: Sep 13, 2020</t>
  </si>
  <si>
    <t>Error in capital gains calculation under new scheme fixed</t>
  </si>
  <si>
    <t>Version 23.3; Release date: Jan 3, 2021</t>
  </si>
  <si>
    <t>Company name/description</t>
  </si>
  <si>
    <t>TDS</t>
  </si>
  <si>
    <t>Amt received</t>
  </si>
  <si>
    <t>Total Amt</t>
  </si>
  <si>
    <t>Totals</t>
  </si>
  <si>
    <t>2. These will be automatically added to the tax computation</t>
  </si>
  <si>
    <t>1. Enter details of dividends from equity and Mutual Funds, and other income received along with TDS amounts</t>
  </si>
  <si>
    <t>TDS paid</t>
  </si>
  <si>
    <t>TDS on Dividend and other Income</t>
  </si>
  <si>
    <t>Version 24.0; Release date: Apr 4, 2021</t>
  </si>
  <si>
    <t>Updated for FY 2021-22; fixed minor errors; introduced a sheet to enter TDS on dividends and other incomes</t>
  </si>
  <si>
    <t>If tax has been deducted outside salary (such as TDS for bank deposit, advance tax, etc.), enter the amount so deducted in cell G79. You can also enter details of income such as Dividends and corresponding TDS in the TDS sheet</t>
  </si>
  <si>
    <t>regularly, please send me a mail giving details with subject as "CLARIFICATION"</t>
  </si>
  <si>
    <t>If you use this regularly, please send me a mail giving details with subject as "CLARIFICATION"</t>
  </si>
  <si>
    <t>I Plan to remove this sheet from next year as I think it is not being used.</t>
  </si>
  <si>
    <t>I Plan to remove this sheet from next year as I think it is not being used. If you use this</t>
  </si>
  <si>
    <t>Version 24.1; Release date: Aug 10, 2021</t>
  </si>
  <si>
    <t>Updated Cost inflation index, calculation error in capital gains sheet fixed</t>
  </si>
  <si>
    <t>2021-22</t>
  </si>
  <si>
    <t>Updated for FY 2022-23; fixed some errors in perquisites calculation and surcharge calculation</t>
  </si>
  <si>
    <t>If you are central or state government employee, change cell AB74 as the NPS contribution limit is higher for such employees</t>
  </si>
  <si>
    <t xml:space="preserve">    Central or state govt. employee? (Y or N) for NPS limit</t>
  </si>
  <si>
    <t>Med Insur Prem / exp / health chk (self, spouse, children) (80D)</t>
  </si>
  <si>
    <t>Income from virtual digital assets (crypto, NFT, etc.)</t>
  </si>
  <si>
    <t>If you have taken loan on an electric vehicle, change cell AB75 as appropriate and update interest amount in cell N73 for claiming tax exemption</t>
  </si>
  <si>
    <t>Donations for certain scientific research and rural development are exempt, as well as donations to some charities under section 35AC or section 80GGA. Please enter the actual amount exempt in cell N78</t>
  </si>
  <si>
    <t>Enter expected other incomes/investments/savings/expenses information in cells N53 to N89</t>
  </si>
  <si>
    <t>Tax on digital assets (taxed @ 30%)</t>
  </si>
  <si>
    <t>Income taxable @ 30% (digi assets):</t>
  </si>
  <si>
    <t>If you are claiming exemption on housing loan interest, remember to update cells AB60, AB61 (see below for the rules)</t>
  </si>
  <si>
    <t>You can enter the opening balance in your PF account as at the beginning of the year in cell D40 and PF loans/withdrawals in cells D39 to O39 to calculate the closing balance (including employer's contribution) in your account at the end of the year. This is not mandatory and does not affect tax calculation in any way</t>
  </si>
  <si>
    <t>Enter non-salary related other income in cell N64, Bank FD/other deposit interest in cell N62 and Savings Bank interest in cell N61</t>
  </si>
  <si>
    <t>Enter income from all digital assets such as crypto currencies, NFTs, etc. in cell N66</t>
  </si>
  <si>
    <t>There is an exemption for interest on housing loan. If the loan was taken before Apr 1, 1999 exemption is limited to ₹ 30,000/- per year. If the loan was taken after Apr 1, 1999 exemption is limited to ₹ 2,00,000/- per year if the house is self-occupied; there is no limit if the house is rented out, but the rent (less 30% of rent as std. deduction and municipal taxes) needs to be declared as income. However, the total loss from all houses cannot be more than 2 lacs. Any excess loss can be carried forward for the next year</t>
  </si>
  <si>
    <t>If the employer pays interest higher than govt. prescribed interest rate, the differential interest earned is treated as perquisites</t>
  </si>
  <si>
    <t>Version 25.0; Release date: Apr 15, 2022</t>
  </si>
  <si>
    <t>2022-23</t>
  </si>
  <si>
    <t>Version 25.1; Release date: Jun 15, 2022</t>
  </si>
  <si>
    <t>Fixed error in surchage calculation, updated cost inflation index</t>
  </si>
  <si>
    <t xml:space="preserve">    1st home + stamp value &lt; 45L + loan during Apr2018-Mar2022?</t>
  </si>
  <si>
    <t>Version 25.2; Release date: Dec 28, 2022</t>
  </si>
  <si>
    <t>Added back sec 80EEA exemption, fixed error in taxable PF contribution</t>
  </si>
  <si>
    <t>© 1997-2023, Nithyanand Yeswanth</t>
  </si>
  <si>
    <t>Updated for FY 2023-24</t>
  </si>
  <si>
    <t>New Surcharge calc</t>
  </si>
  <si>
    <t>surch</t>
  </si>
  <si>
    <t>marg relf</t>
  </si>
  <si>
    <t>base sur</t>
  </si>
  <si>
    <t>Old Surcharge calc</t>
  </si>
  <si>
    <t>If the interest rate on PF is other than 8.15%, change the value in cell AB57</t>
  </si>
  <si>
    <t>LTA is exempt to the tune of ecomony class airfare for the family to any destination in India, by the shortest route.
LTA can be claimed twice in a block of 4 calendar years. The current block is from Jan 2022 to Dec 2025</t>
  </si>
  <si>
    <t>None of the exemptions (except standard deduction) are available if you opt for the New Tax Scheme</t>
  </si>
  <si>
    <t>Version 26.0; Release date: Apr 08, 2023</t>
  </si>
  <si>
    <t>1. Enter the original loan amount, the month in which the loan was taken (e.g., DEC-2020), number of instalments and company interest rate in rows 5, 6, 10 and 11 respectively</t>
  </si>
  <si>
    <t>2. If the loan was pre-closed, enter the month in which it was pre-closed (e.g., AUG-2022) in row 7. Otherwise leave blank</t>
  </si>
  <si>
    <t>3. If you have taken another loan of same type, enter similar details in rows 14 through 20. For example, a Soft Loan taken in JUL-2020 may have</t>
  </si>
  <si>
    <t xml:space="preserve">     completed its term (or pre-closed) in JUN-2022. These details can be entered in rows 5 through 11. Suppose another Soft Loan is taken in SEP-2022, those details</t>
  </si>
  <si>
    <t xml:space="preserve">     Prescribed interest rate is the rate charged by the State Bank of India as on 01-Apr-2023 for loans of same type advanced by it to the general public</t>
  </si>
  <si>
    <t>2023-24</t>
  </si>
  <si>
    <t>Version 26.1</t>
  </si>
  <si>
    <t>Other inputs</t>
  </si>
  <si>
    <t># For pension commutation, etc. Pls be 100% sure</t>
  </si>
  <si>
    <t xml:space="preserve">   while entering</t>
  </si>
  <si>
    <t>Tax exempt income #</t>
  </si>
  <si>
    <t>Updated cost inflation index, REC bond included, non-taxable income added</t>
  </si>
  <si>
    <t>REC bonds for real estate LT gains</t>
  </si>
  <si>
    <t>Amount</t>
  </si>
  <si>
    <t>Version 26.1; Release date: Jul 15,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</si>
</sst>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_)"/>
    <numFmt numFmtId="165" formatCode="&quot;Rs.&quot;#,##0_);[Red]\(&quot;Rs.&quot;#,##0\)"/>
    <numFmt numFmtId="166" formatCode="&quot;Rs.&quot;#,##0"/>
    <numFmt numFmtId="167" formatCode="mmm\-yyyy"/>
    <numFmt numFmtId="168" formatCode="[$-409]d\-mmm\-yy;@"/>
    <numFmt numFmtId="169" formatCode="[$-409]d\-mmm\-yyyy;@"/>
    <numFmt numFmtId="170" formatCode="0.00000"/>
    <numFmt numFmtId="171" formatCode="_(* #,##0_);_(* \(#,##0\);_(* &quot;-&quot;??_);_(@_)"/>
    <numFmt numFmtId="172" formatCode="0.000"/>
    <numFmt numFmtId="173" formatCode="#,##0.000"/>
  </numFmts>
  <fonts count="56" x14ac:knownFonts="1">
    <font>
      <sz val="8"/>
      <name val="Franklin Gothic Book"/>
    </font>
    <font>
      <sz val="8"/>
      <name val="Franklin Gothic Book"/>
      <family val="2"/>
    </font>
    <font>
      <sz val="8"/>
      <name val="Franklin Gothic Book"/>
      <family val="2"/>
    </font>
    <font>
      <b/>
      <sz val="8"/>
      <name val="Franklin Gothic Book"/>
      <family val="2"/>
    </font>
    <font>
      <sz val="8"/>
      <color indexed="20"/>
      <name val="Franklin Gothic Book"/>
      <family val="2"/>
    </font>
    <font>
      <b/>
      <sz val="8"/>
      <color indexed="8"/>
      <name val="Franklin Gothic Book"/>
      <family val="2"/>
    </font>
    <font>
      <sz val="8"/>
      <color indexed="8"/>
      <name val="Franklin Gothic Book"/>
      <family val="2"/>
    </font>
    <font>
      <sz val="8"/>
      <color indexed="81"/>
      <name val="Tahoma"/>
      <family val="2"/>
    </font>
    <font>
      <b/>
      <sz val="9"/>
      <name val="Franklin Gothic Book"/>
      <family val="2"/>
    </font>
    <font>
      <sz val="9"/>
      <name val="Arial"/>
      <family val="2"/>
    </font>
    <font>
      <u/>
      <sz val="9"/>
      <color indexed="12"/>
      <name val="Arial"/>
      <family val="2"/>
    </font>
    <font>
      <sz val="8"/>
      <name val="Arial"/>
      <family val="2"/>
    </font>
    <font>
      <sz val="8"/>
      <color indexed="12"/>
      <name val="Franklin Gothic Book"/>
      <family val="2"/>
    </font>
    <font>
      <b/>
      <sz val="8"/>
      <color indexed="39"/>
      <name val="Franklin Gothic Book"/>
      <family val="2"/>
    </font>
    <font>
      <b/>
      <sz val="8"/>
      <color indexed="12"/>
      <name val="Franklin Gothic Book"/>
      <family val="2"/>
    </font>
    <font>
      <b/>
      <sz val="8"/>
      <color indexed="10"/>
      <name val="Franklin Gothic Book"/>
      <family val="2"/>
    </font>
    <font>
      <b/>
      <sz val="8"/>
      <color indexed="20"/>
      <name val="Franklin Gothic Book"/>
      <family val="2"/>
    </font>
    <font>
      <b/>
      <sz val="10"/>
      <color indexed="9"/>
      <name val="Franklin Gothic Book"/>
      <family val="2"/>
    </font>
    <font>
      <sz val="10"/>
      <color indexed="9"/>
      <name val="Franklin Gothic Book"/>
      <family val="2"/>
    </font>
    <font>
      <sz val="8"/>
      <name val="Verdana"/>
      <family val="2"/>
    </font>
    <font>
      <sz val="6"/>
      <name val="Franklin Gothic Book"/>
      <family val="2"/>
    </font>
    <font>
      <b/>
      <sz val="10"/>
      <color indexed="58"/>
      <name val="Franklin Gothic Book"/>
      <family val="2"/>
    </font>
    <font>
      <b/>
      <sz val="10"/>
      <color indexed="12"/>
      <name val="Franklin Gothic Book"/>
      <family val="2"/>
    </font>
    <font>
      <sz val="9"/>
      <name val="Franklin Gothic Book"/>
      <family val="2"/>
    </font>
    <font>
      <b/>
      <sz val="8"/>
      <color indexed="13"/>
      <name val="Franklin Gothic Book"/>
      <family val="2"/>
    </font>
    <font>
      <b/>
      <u/>
      <sz val="8"/>
      <color indexed="16"/>
      <name val="Franklin Gothic Book"/>
      <family val="2"/>
    </font>
    <font>
      <b/>
      <sz val="10"/>
      <color indexed="8"/>
      <name val="Franklin Gothic Book"/>
      <family val="2"/>
    </font>
    <font>
      <vertAlign val="superscript"/>
      <sz val="8"/>
      <color indexed="12"/>
      <name val="Franklin Gothic Book"/>
      <family val="2"/>
    </font>
    <font>
      <sz val="7"/>
      <name val="Franklin Gothic Book"/>
      <family val="2"/>
    </font>
    <font>
      <b/>
      <sz val="12"/>
      <color indexed="16"/>
      <name val="Franklin Gothic Book"/>
      <family val="2"/>
    </font>
    <font>
      <sz val="10"/>
      <name val="Franklin Gothic Book"/>
      <family val="2"/>
    </font>
    <font>
      <b/>
      <sz val="9"/>
      <color indexed="17"/>
      <name val="Franklin Gothic Book"/>
      <family val="2"/>
    </font>
    <font>
      <sz val="9"/>
      <color indexed="17"/>
      <name val="Franklin Gothic Book"/>
      <family val="2"/>
    </font>
    <font>
      <sz val="10"/>
      <color indexed="17"/>
      <name val="Franklin Gothic Book"/>
      <family val="2"/>
    </font>
    <font>
      <b/>
      <sz val="10"/>
      <color indexed="21"/>
      <name val="Franklin Gothic Book"/>
      <family val="2"/>
    </font>
    <font>
      <sz val="8"/>
      <color indexed="55"/>
      <name val="Franklin Gothic Book"/>
      <family val="2"/>
    </font>
    <font>
      <b/>
      <sz val="8"/>
      <color rgb="FFFF0000"/>
      <name val="Franklin Gothic Book"/>
      <family val="2"/>
    </font>
    <font>
      <sz val="8"/>
      <color rgb="FF333333"/>
      <name val="Franklin Gothic Book"/>
      <family val="2"/>
    </font>
    <font>
      <sz val="8"/>
      <color rgb="FF0070C0"/>
      <name val="Franklin Gothic Book"/>
      <family val="2"/>
    </font>
    <font>
      <b/>
      <sz val="8"/>
      <color rgb="FF0070C0"/>
      <name val="Franklin Gothic Book"/>
      <family val="2"/>
    </font>
    <font>
      <b/>
      <sz val="8"/>
      <color theme="5"/>
      <name val="Franklin Gothic Book"/>
      <family val="2"/>
    </font>
    <font>
      <b/>
      <sz val="8"/>
      <color theme="2" tint="-0.89999084444715716"/>
      <name val="Franklin Gothic Book"/>
      <family val="2"/>
    </font>
    <font>
      <b/>
      <sz val="8"/>
      <color rgb="FFC00000"/>
      <name val="Franklin Gothic Book"/>
      <family val="2"/>
    </font>
    <font>
      <sz val="8"/>
      <color rgb="FFC00000"/>
      <name val="Franklin Gothic Book"/>
      <family val="2"/>
    </font>
    <font>
      <b/>
      <sz val="10"/>
      <name val="Franklin Gothic Book"/>
      <family val="2"/>
    </font>
    <font>
      <b/>
      <sz val="8"/>
      <color theme="0"/>
      <name val="Franklin Gothic Book"/>
      <family val="2"/>
    </font>
    <font>
      <sz val="8"/>
      <color rgb="FF800080"/>
      <name val="Franklin Gothic Book"/>
      <family val="2"/>
    </font>
    <font>
      <sz val="8"/>
      <color rgb="FF333333"/>
      <name val="Franklin Gothic Book"/>
      <family val="2"/>
    </font>
    <font>
      <u/>
      <sz val="8"/>
      <name val="Franklin Gothic Book"/>
      <family val="2"/>
    </font>
    <font>
      <sz val="8"/>
      <color rgb="FF333333"/>
      <name val="Franklin Gothic Book"/>
      <family val="2"/>
    </font>
    <font>
      <sz val="8"/>
      <color rgb="FF333333"/>
      <name val="Franklin Gothic Book"/>
      <family val="2"/>
    </font>
    <font>
      <i/>
      <sz val="8"/>
      <name val="Franklin Gothic Book"/>
      <family val="2"/>
    </font>
    <font>
      <b/>
      <sz val="10"/>
      <color rgb="FFFF0000"/>
      <name val="Tahoma"/>
      <family val="2"/>
    </font>
    <font>
      <sz val="8"/>
      <color rgb="FF333333"/>
      <name val="Franklin Gothic Book"/>
      <family val="2"/>
    </font>
    <font>
      <sz val="8"/>
      <color rgb="FF333333"/>
      <name val="Franklin Gothic Book"/>
      <family val="2"/>
    </font>
    <font>
      <sz val="8"/>
      <color rgb="FF333333"/>
      <name val="Franklin Gothic Book"/>
      <family val="2"/>
    </font>
  </fonts>
  <fills count="19">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indexed="65"/>
        <bgColor indexed="64"/>
      </patternFill>
    </fill>
    <fill>
      <patternFill patternType="solid">
        <fgColor indexed="9"/>
        <bgColor indexed="64"/>
      </patternFill>
    </fill>
    <fill>
      <patternFill patternType="solid">
        <fgColor indexed="31"/>
        <bgColor indexed="64"/>
      </patternFill>
    </fill>
    <fill>
      <patternFill patternType="solid">
        <fgColor indexed="47"/>
        <bgColor indexed="64"/>
      </patternFill>
    </fill>
    <fill>
      <patternFill patternType="solid">
        <fgColor indexed="43"/>
        <bgColor indexed="64"/>
      </patternFill>
    </fill>
    <fill>
      <patternFill patternType="solid">
        <fgColor indexed="53"/>
        <bgColor indexed="64"/>
      </patternFill>
    </fill>
    <fill>
      <patternFill patternType="solid">
        <fgColor indexed="41"/>
        <bgColor indexed="64"/>
      </patternFill>
    </fill>
    <fill>
      <patternFill patternType="solid">
        <fgColor indexed="1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rgb="FFFFFF99"/>
        <bgColor indexed="64"/>
      </patternFill>
    </fill>
    <fill>
      <patternFill patternType="solid">
        <fgColor theme="9" tint="0.79998168889431442"/>
        <bgColor indexed="64"/>
      </patternFill>
    </fill>
  </fills>
  <borders count="83">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diagonal/>
    </border>
    <border>
      <left style="thin">
        <color indexed="12"/>
      </left>
      <right style="thin">
        <color indexed="10"/>
      </right>
      <top style="thin">
        <color indexed="12"/>
      </top>
      <bottom style="thin">
        <color indexed="12"/>
      </bottom>
      <diagonal/>
    </border>
    <border>
      <left style="thin">
        <color indexed="12"/>
      </left>
      <right style="thin">
        <color indexed="12"/>
      </right>
      <top style="thin">
        <color indexed="12"/>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0"/>
      </left>
      <right/>
      <top style="thin">
        <color indexed="12"/>
      </top>
      <bottom style="thin">
        <color indexed="12"/>
      </bottom>
      <diagonal/>
    </border>
    <border>
      <left style="thin">
        <color indexed="10"/>
      </left>
      <right/>
      <top style="thin">
        <color indexed="12"/>
      </top>
      <bottom style="thin">
        <color indexed="10"/>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right/>
      <top style="thin">
        <color indexed="12"/>
      </top>
      <bottom/>
      <diagonal/>
    </border>
    <border>
      <left style="thin">
        <color indexed="12"/>
      </left>
      <right/>
      <top/>
      <bottom/>
      <diagonal/>
    </border>
    <border>
      <left/>
      <right/>
      <top style="thin">
        <color indexed="12"/>
      </top>
      <bottom style="thin">
        <color indexed="10"/>
      </bottom>
      <diagonal/>
    </border>
    <border>
      <left/>
      <right style="thin">
        <color indexed="12"/>
      </right>
      <top style="thin">
        <color indexed="12"/>
      </top>
      <bottom style="thin">
        <color indexed="10"/>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diagonal/>
    </border>
    <border>
      <left style="thin">
        <color indexed="48"/>
      </left>
      <right/>
      <top style="thin">
        <color indexed="48"/>
      </top>
      <bottom style="thin">
        <color indexed="48"/>
      </bottom>
      <diagonal/>
    </border>
    <border>
      <left/>
      <right/>
      <top style="thin">
        <color indexed="48"/>
      </top>
      <bottom style="thin">
        <color indexed="48"/>
      </bottom>
      <diagonal/>
    </border>
    <border>
      <left/>
      <right style="thin">
        <color indexed="48"/>
      </right>
      <top style="thin">
        <color indexed="48"/>
      </top>
      <bottom style="thin">
        <color indexed="48"/>
      </bottom>
      <diagonal/>
    </border>
    <border>
      <left style="medium">
        <color indexed="9"/>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bottom style="hair">
        <color indexed="64"/>
      </bottom>
      <diagonal/>
    </border>
    <border>
      <left/>
      <right/>
      <top/>
      <bottom style="thin">
        <color indexed="9"/>
      </bottom>
      <diagonal/>
    </border>
    <border>
      <left/>
      <right style="medium">
        <color indexed="9"/>
      </right>
      <top/>
      <bottom style="thin">
        <color indexed="9"/>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9"/>
      </top>
      <bottom/>
      <diagonal/>
    </border>
    <border>
      <left style="thin">
        <color indexed="12"/>
      </left>
      <right style="thin">
        <color indexed="10"/>
      </right>
      <top style="thin">
        <color indexed="10"/>
      </top>
      <bottom style="thin">
        <color indexed="12"/>
      </bottom>
      <diagonal/>
    </border>
    <border>
      <left style="thin">
        <color indexed="12"/>
      </left>
      <right style="thin">
        <color indexed="10"/>
      </right>
      <top style="thin">
        <color indexed="12"/>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right style="thin">
        <color indexed="10"/>
      </right>
      <top style="thin">
        <color indexed="12"/>
      </top>
      <bottom style="thin">
        <color indexed="12"/>
      </bottom>
      <diagonal/>
    </border>
    <border>
      <left style="thin">
        <color indexed="10"/>
      </left>
      <right/>
      <top style="thin">
        <color indexed="10"/>
      </top>
      <bottom style="thin">
        <color indexed="12"/>
      </bottom>
      <diagonal/>
    </border>
    <border>
      <left/>
      <right/>
      <top style="thin">
        <color indexed="10"/>
      </top>
      <bottom style="thin">
        <color indexed="12"/>
      </bottom>
      <diagonal/>
    </border>
    <border>
      <left/>
      <right style="thin">
        <color indexed="12"/>
      </right>
      <top style="thin">
        <color indexed="10"/>
      </top>
      <bottom style="thin">
        <color indexed="1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16"/>
      </left>
      <right/>
      <top style="thin">
        <color indexed="16"/>
      </top>
      <bottom style="thin">
        <color indexed="16"/>
      </bottom>
      <diagonal/>
    </border>
    <border>
      <left/>
      <right style="thin">
        <color indexed="16"/>
      </right>
      <top style="thin">
        <color indexed="16"/>
      </top>
      <bottom style="thin">
        <color indexed="16"/>
      </bottom>
      <diagonal/>
    </border>
    <border>
      <left style="thin">
        <color indexed="64"/>
      </left>
      <right/>
      <top/>
      <bottom/>
      <diagonal/>
    </border>
    <border>
      <left/>
      <right style="thin">
        <color indexed="64"/>
      </right>
      <top/>
      <bottom/>
      <diagonal/>
    </border>
    <border>
      <left style="thin">
        <color indexed="12"/>
      </left>
      <right style="thin">
        <color indexed="12"/>
      </right>
      <top/>
      <bottom/>
      <diagonal/>
    </border>
    <border>
      <left style="thin">
        <color indexed="9"/>
      </left>
      <right/>
      <top/>
      <bottom style="thin">
        <color indexed="9"/>
      </bottom>
      <diagonal/>
    </border>
    <border>
      <left/>
      <right style="thin">
        <color indexed="9"/>
      </right>
      <top/>
      <bottom style="thin">
        <color indexed="9"/>
      </bottom>
      <diagonal/>
    </border>
    <border>
      <left/>
      <right/>
      <top/>
      <bottom style="thin">
        <color indexed="48"/>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rgb="FF0070C0"/>
      </left>
      <right style="thin">
        <color rgb="FF0070C0"/>
      </right>
      <top style="thin">
        <color rgb="FF0070C0"/>
      </top>
      <bottom style="thin">
        <color rgb="FF0070C0"/>
      </bottom>
      <diagonal/>
    </border>
    <border>
      <left style="thin">
        <color indexed="9"/>
      </left>
      <right/>
      <top style="thin">
        <color theme="0"/>
      </top>
      <bottom/>
      <diagonal/>
    </border>
    <border>
      <left/>
      <right/>
      <top style="thin">
        <color theme="0"/>
      </top>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
      <left/>
      <right style="thin">
        <color rgb="FF0070C0"/>
      </right>
      <top style="thin">
        <color rgb="FF0070C0"/>
      </top>
      <bottom/>
      <diagonal/>
    </border>
    <border>
      <left/>
      <right style="thin">
        <color rgb="FF0070C0"/>
      </right>
      <top/>
      <bottom style="thin">
        <color rgb="FF0070C0"/>
      </bottom>
      <diagonal/>
    </border>
    <border>
      <left/>
      <right/>
      <top style="thin">
        <color rgb="FF0070C0"/>
      </top>
      <bottom style="thin">
        <color rgb="FF0070C0"/>
      </bottom>
      <diagonal/>
    </border>
    <border>
      <left/>
      <right/>
      <top/>
      <bottom style="thin">
        <color rgb="FF0070C0"/>
      </bottom>
      <diagonal/>
    </border>
    <border>
      <left/>
      <right/>
      <top style="thin">
        <color rgb="FF0070C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double">
        <color indexed="64"/>
      </bottom>
      <diagonal/>
    </border>
    <border>
      <left style="thin">
        <color indexed="9"/>
      </left>
      <right/>
      <top style="thin">
        <color indexed="9"/>
      </top>
      <bottom/>
      <diagonal/>
    </border>
    <border>
      <left/>
      <right style="thin">
        <color indexed="9"/>
      </right>
      <top style="thin">
        <color indexed="9"/>
      </top>
      <bottom/>
      <diagonal/>
    </border>
    <border>
      <left style="thin">
        <color indexed="48"/>
      </left>
      <right/>
      <top style="thin">
        <color indexed="48"/>
      </top>
      <bottom/>
      <diagonal/>
    </border>
    <border>
      <left/>
      <right style="thin">
        <color indexed="48"/>
      </right>
      <top style="thin">
        <color indexed="48"/>
      </top>
      <bottom/>
      <diagonal/>
    </border>
    <border>
      <left style="thin">
        <color indexed="48"/>
      </left>
      <right/>
      <top/>
      <bottom style="thin">
        <color indexed="48"/>
      </bottom>
      <diagonal/>
    </border>
    <border>
      <left/>
      <right style="thin">
        <color indexed="48"/>
      </right>
      <top/>
      <bottom style="thin">
        <color indexed="48"/>
      </bottom>
      <diagonal/>
    </border>
    <border>
      <left style="thin">
        <color indexed="48"/>
      </left>
      <right style="thin">
        <color indexed="48"/>
      </right>
      <top/>
      <bottom style="thin">
        <color indexed="48"/>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6">
    <xf numFmtId="0" fontId="0" fillId="0" borderId="0"/>
    <xf numFmtId="43" fontId="1" fillId="0" borderId="0" applyFont="0" applyFill="0" applyBorder="0" applyAlignment="0" applyProtection="0"/>
    <xf numFmtId="0" fontId="10" fillId="0" borderId="0" applyNumberFormat="0" applyFill="0" applyBorder="0" applyAlignment="0" applyProtection="0">
      <alignment vertical="top"/>
      <protection locked="0"/>
    </xf>
    <xf numFmtId="0" fontId="19" fillId="0" borderId="0"/>
    <xf numFmtId="0" fontId="9" fillId="0" borderId="0"/>
    <xf numFmtId="9" fontId="1" fillId="0" borderId="0" applyFont="0" applyFill="0" applyBorder="0" applyAlignment="0" applyProtection="0"/>
  </cellStyleXfs>
  <cellXfs count="413">
    <xf numFmtId="0" fontId="0" fillId="0" borderId="0" xfId="0"/>
    <xf numFmtId="164" fontId="5" fillId="3" borderId="1" xfId="0" applyNumberFormat="1" applyFont="1" applyFill="1" applyBorder="1" applyAlignment="1" applyProtection="1">
      <alignment vertical="center"/>
      <protection hidden="1"/>
    </xf>
    <xf numFmtId="164" fontId="6" fillId="4" borderId="1" xfId="0" applyNumberFormat="1" applyFont="1" applyFill="1" applyBorder="1" applyAlignment="1" applyProtection="1">
      <alignment vertical="center"/>
      <protection hidden="1"/>
    </xf>
    <xf numFmtId="164" fontId="6" fillId="6" borderId="1" xfId="0" applyNumberFormat="1" applyFont="1" applyFill="1" applyBorder="1" applyAlignment="1" applyProtection="1">
      <alignment vertical="center"/>
      <protection hidden="1"/>
    </xf>
    <xf numFmtId="164" fontId="3" fillId="0" borderId="4" xfId="0" applyNumberFormat="1" applyFont="1" applyBorder="1" applyAlignment="1" applyProtection="1">
      <alignment horizontal="center" vertical="center"/>
      <protection hidden="1"/>
    </xf>
    <xf numFmtId="164" fontId="3" fillId="4" borderId="6" xfId="0" applyNumberFormat="1" applyFont="1" applyFill="1" applyBorder="1" applyAlignment="1" applyProtection="1">
      <alignment horizontal="left" vertical="center"/>
      <protection hidden="1"/>
    </xf>
    <xf numFmtId="164" fontId="3" fillId="4" borderId="7" xfId="0" applyNumberFormat="1" applyFont="1" applyFill="1" applyBorder="1" applyAlignment="1" applyProtection="1">
      <alignment horizontal="left" vertical="center"/>
      <protection hidden="1"/>
    </xf>
    <xf numFmtId="164" fontId="3" fillId="4" borderId="6" xfId="0" applyNumberFormat="1" applyFont="1" applyFill="1" applyBorder="1" applyAlignment="1" applyProtection="1">
      <alignment horizontal="right" vertical="center"/>
      <protection hidden="1"/>
    </xf>
    <xf numFmtId="164" fontId="3" fillId="4" borderId="1" xfId="0" applyNumberFormat="1" applyFont="1" applyFill="1" applyBorder="1" applyAlignment="1" applyProtection="1">
      <alignment horizontal="right" vertical="center"/>
      <protection hidden="1"/>
    </xf>
    <xf numFmtId="164" fontId="3" fillId="7" borderId="6" xfId="0" applyNumberFormat="1" applyFont="1" applyFill="1" applyBorder="1" applyAlignment="1" applyProtection="1">
      <alignment horizontal="left" vertical="center"/>
      <protection hidden="1"/>
    </xf>
    <xf numFmtId="164" fontId="3" fillId="7" borderId="7" xfId="0" applyNumberFormat="1" applyFont="1" applyFill="1" applyBorder="1" applyAlignment="1" applyProtection="1">
      <alignment horizontal="left" vertical="center"/>
      <protection hidden="1"/>
    </xf>
    <xf numFmtId="164" fontId="3" fillId="2" borderId="11" xfId="0" applyNumberFormat="1" applyFont="1" applyFill="1" applyBorder="1" applyAlignment="1" applyProtection="1">
      <alignment horizontal="right" vertical="center"/>
      <protection hidden="1"/>
    </xf>
    <xf numFmtId="164" fontId="3" fillId="2" borderId="6" xfId="0" applyNumberFormat="1" applyFont="1" applyFill="1" applyBorder="1" applyAlignment="1" applyProtection="1">
      <alignment horizontal="right" vertical="center"/>
      <protection hidden="1"/>
    </xf>
    <xf numFmtId="164" fontId="3" fillId="2" borderId="8" xfId="0" applyNumberFormat="1" applyFont="1" applyFill="1" applyBorder="1" applyAlignment="1" applyProtection="1">
      <alignment horizontal="right" vertical="center"/>
      <protection hidden="1"/>
    </xf>
    <xf numFmtId="164" fontId="3" fillId="2" borderId="13" xfId="0" applyNumberFormat="1" applyFont="1" applyFill="1" applyBorder="1" applyAlignment="1" applyProtection="1">
      <alignment horizontal="right" vertical="center"/>
      <protection hidden="1"/>
    </xf>
    <xf numFmtId="164" fontId="2" fillId="0" borderId="1" xfId="0" applyNumberFormat="1" applyFont="1" applyBorder="1" applyAlignment="1" applyProtection="1">
      <alignment vertical="center"/>
      <protection hidden="1"/>
    </xf>
    <xf numFmtId="9" fontId="2" fillId="6" borderId="1" xfId="0" applyNumberFormat="1" applyFont="1" applyFill="1" applyBorder="1" applyAlignment="1" applyProtection="1">
      <alignment horizontal="right" vertical="center"/>
      <protection hidden="1"/>
    </xf>
    <xf numFmtId="10" fontId="6" fillId="4" borderId="1" xfId="5" applyNumberFormat="1" applyFont="1" applyFill="1" applyBorder="1" applyAlignment="1" applyProtection="1">
      <alignment vertical="center"/>
      <protection hidden="1"/>
    </xf>
    <xf numFmtId="164" fontId="5" fillId="0" borderId="3" xfId="0" applyNumberFormat="1" applyFont="1" applyBorder="1" applyAlignment="1" applyProtection="1">
      <alignment vertical="center"/>
      <protection hidden="1"/>
    </xf>
    <xf numFmtId="164" fontId="5" fillId="0" borderId="6" xfId="0" applyNumberFormat="1" applyFont="1" applyBorder="1" applyAlignment="1" applyProtection="1">
      <alignment vertical="center"/>
      <protection hidden="1"/>
    </xf>
    <xf numFmtId="164" fontId="2" fillId="5" borderId="0" xfId="0" quotePrefix="1" applyNumberFormat="1" applyFont="1" applyFill="1" applyAlignment="1" applyProtection="1">
      <alignment horizontal="right" vertical="center"/>
      <protection hidden="1"/>
    </xf>
    <xf numFmtId="164" fontId="2" fillId="5" borderId="0" xfId="0" applyNumberFormat="1" applyFont="1" applyFill="1" applyAlignment="1" applyProtection="1">
      <alignment vertical="center"/>
      <protection hidden="1"/>
    </xf>
    <xf numFmtId="164" fontId="2" fillId="5" borderId="0" xfId="0" applyNumberFormat="1" applyFont="1" applyFill="1" applyAlignment="1" applyProtection="1">
      <alignment horizontal="right" vertical="center"/>
      <protection hidden="1"/>
    </xf>
    <xf numFmtId="164" fontId="2" fillId="5" borderId="0" xfId="0" quotePrefix="1" applyNumberFormat="1" applyFont="1" applyFill="1" applyAlignment="1" applyProtection="1">
      <alignment vertical="center"/>
      <protection hidden="1"/>
    </xf>
    <xf numFmtId="164" fontId="20" fillId="5" borderId="0" xfId="0" applyNumberFormat="1" applyFont="1" applyFill="1" applyAlignment="1" applyProtection="1">
      <alignment vertical="center"/>
      <protection hidden="1"/>
    </xf>
    <xf numFmtId="0" fontId="2" fillId="0" borderId="0" xfId="0" applyFont="1" applyAlignment="1" applyProtection="1">
      <alignment horizontal="right"/>
      <protection hidden="1"/>
    </xf>
    <xf numFmtId="0" fontId="3" fillId="0" borderId="0" xfId="0" applyFont="1" applyAlignment="1" applyProtection="1">
      <alignment horizontal="right"/>
      <protection hidden="1"/>
    </xf>
    <xf numFmtId="0" fontId="2" fillId="0" borderId="1" xfId="0" applyFont="1" applyBorder="1" applyAlignment="1" applyProtection="1">
      <alignment horizontal="center"/>
      <protection hidden="1"/>
    </xf>
    <xf numFmtId="0" fontId="2" fillId="0" borderId="0" xfId="0" applyFont="1" applyAlignment="1" applyProtection="1">
      <alignment horizontal="center"/>
      <protection hidden="1"/>
    </xf>
    <xf numFmtId="0" fontId="2" fillId="4" borderId="7" xfId="0" applyFont="1" applyFill="1" applyBorder="1" applyAlignment="1" applyProtection="1">
      <alignment horizontal="left" vertical="center"/>
      <protection hidden="1"/>
    </xf>
    <xf numFmtId="0" fontId="2" fillId="4" borderId="8"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164" fontId="8" fillId="6" borderId="0" xfId="4" applyNumberFormat="1" applyFont="1" applyFill="1" applyAlignment="1" applyProtection="1">
      <alignment horizontal="center" vertical="top"/>
      <protection hidden="1"/>
    </xf>
    <xf numFmtId="0" fontId="2" fillId="0" borderId="0" xfId="3" applyFont="1" applyProtection="1">
      <protection hidden="1"/>
    </xf>
    <xf numFmtId="0" fontId="22" fillId="0" borderId="0" xfId="3" applyFont="1" applyAlignment="1" applyProtection="1">
      <alignment horizontal="centerContinuous" vertical="center"/>
      <protection hidden="1"/>
    </xf>
    <xf numFmtId="0" fontId="2" fillId="0" borderId="0" xfId="3" applyFont="1" applyAlignment="1" applyProtection="1">
      <alignment horizontal="centerContinuous" vertical="center"/>
      <protection hidden="1"/>
    </xf>
    <xf numFmtId="0" fontId="3" fillId="0" borderId="0" xfId="3" applyFont="1" applyAlignment="1" applyProtection="1">
      <alignment horizontal="center"/>
      <protection hidden="1"/>
    </xf>
    <xf numFmtId="164" fontId="15" fillId="2" borderId="18" xfId="4" applyNumberFormat="1" applyFont="1" applyFill="1" applyBorder="1" applyAlignment="1" applyProtection="1">
      <alignment horizontal="left" vertical="center"/>
      <protection hidden="1"/>
    </xf>
    <xf numFmtId="0" fontId="3" fillId="0" borderId="0" xfId="3" applyFont="1" applyAlignment="1" applyProtection="1">
      <alignment horizontal="right" wrapText="1"/>
      <protection hidden="1"/>
    </xf>
    <xf numFmtId="0" fontId="3" fillId="0" borderId="0" xfId="3" applyFont="1" applyProtection="1">
      <protection hidden="1"/>
    </xf>
    <xf numFmtId="3" fontId="4" fillId="9" borderId="18" xfId="3" applyNumberFormat="1" applyFont="1" applyFill="1" applyBorder="1" applyProtection="1">
      <protection locked="0" hidden="1"/>
    </xf>
    <xf numFmtId="166" fontId="2" fillId="0" borderId="0" xfId="3" applyNumberFormat="1" applyFont="1" applyProtection="1">
      <protection hidden="1"/>
    </xf>
    <xf numFmtId="0" fontId="2" fillId="0" borderId="0" xfId="3" applyFont="1" applyAlignment="1" applyProtection="1">
      <alignment horizontal="right"/>
      <protection hidden="1"/>
    </xf>
    <xf numFmtId="168" fontId="2" fillId="9" borderId="0" xfId="3" applyNumberFormat="1" applyFont="1" applyFill="1" applyProtection="1">
      <protection hidden="1"/>
    </xf>
    <xf numFmtId="167" fontId="4" fillId="9" borderId="18" xfId="3" applyNumberFormat="1" applyFont="1" applyFill="1" applyBorder="1" applyProtection="1">
      <protection locked="0" hidden="1"/>
    </xf>
    <xf numFmtId="168" fontId="2" fillId="0" borderId="0" xfId="3" applyNumberFormat="1" applyFont="1" applyProtection="1">
      <protection hidden="1"/>
    </xf>
    <xf numFmtId="167" fontId="4" fillId="0" borderId="19" xfId="3" applyNumberFormat="1" applyFont="1" applyBorder="1" applyProtection="1">
      <protection locked="0" hidden="1"/>
    </xf>
    <xf numFmtId="3" fontId="4" fillId="9" borderId="19" xfId="3" applyNumberFormat="1" applyFont="1" applyFill="1" applyBorder="1" applyProtection="1">
      <protection locked="0" hidden="1"/>
    </xf>
    <xf numFmtId="10" fontId="4" fillId="9" borderId="18" xfId="3" applyNumberFormat="1" applyFont="1" applyFill="1" applyBorder="1" applyProtection="1">
      <protection locked="0" hidden="1"/>
    </xf>
    <xf numFmtId="164" fontId="5" fillId="0" borderId="20" xfId="4" applyNumberFormat="1" applyFont="1" applyBorder="1" applyAlignment="1" applyProtection="1">
      <alignment horizontal="left" vertical="center"/>
      <protection hidden="1"/>
    </xf>
    <xf numFmtId="3" fontId="4" fillId="0" borderId="21" xfId="3" applyNumberFormat="1" applyFont="1" applyBorder="1" applyProtection="1">
      <protection hidden="1"/>
    </xf>
    <xf numFmtId="3" fontId="12" fillId="0" borderId="22" xfId="3" applyNumberFormat="1" applyFont="1" applyBorder="1" applyProtection="1">
      <protection hidden="1"/>
    </xf>
    <xf numFmtId="164" fontId="14" fillId="0" borderId="20" xfId="4" applyNumberFormat="1" applyFont="1" applyBorder="1" applyAlignment="1" applyProtection="1">
      <alignment horizontal="left" vertical="center"/>
      <protection hidden="1"/>
    </xf>
    <xf numFmtId="164" fontId="12" fillId="0" borderId="21" xfId="4" applyNumberFormat="1" applyFont="1" applyBorder="1" applyAlignment="1" applyProtection="1">
      <alignment vertical="center"/>
      <protection hidden="1"/>
    </xf>
    <xf numFmtId="164" fontId="12" fillId="0" borderId="22" xfId="4" applyNumberFormat="1" applyFont="1" applyBorder="1" applyAlignment="1" applyProtection="1">
      <alignment vertical="center"/>
      <protection hidden="1"/>
    </xf>
    <xf numFmtId="9" fontId="2" fillId="0" borderId="0" xfId="3" applyNumberFormat="1" applyFont="1" applyProtection="1">
      <protection hidden="1"/>
    </xf>
    <xf numFmtId="10" fontId="2" fillId="8" borderId="18" xfId="3" applyNumberFormat="1" applyFont="1" applyFill="1" applyBorder="1" applyProtection="1">
      <protection hidden="1"/>
    </xf>
    <xf numFmtId="164" fontId="15" fillId="0" borderId="18" xfId="4" applyNumberFormat="1" applyFont="1" applyBorder="1" applyAlignment="1" applyProtection="1">
      <alignment horizontal="left" vertical="center"/>
      <protection hidden="1"/>
    </xf>
    <xf numFmtId="3" fontId="12" fillId="0" borderId="19" xfId="3" applyNumberFormat="1" applyFont="1" applyBorder="1" applyProtection="1">
      <protection hidden="1"/>
    </xf>
    <xf numFmtId="164" fontId="15" fillId="2" borderId="18" xfId="4" applyNumberFormat="1" applyFont="1" applyFill="1" applyBorder="1" applyAlignment="1" applyProtection="1">
      <alignment horizontal="left" vertical="center" indent="2"/>
      <protection hidden="1"/>
    </xf>
    <xf numFmtId="3" fontId="4" fillId="0" borderId="18" xfId="3" applyNumberFormat="1" applyFont="1" applyBorder="1" applyProtection="1">
      <protection hidden="1"/>
    </xf>
    <xf numFmtId="17" fontId="2" fillId="0" borderId="0" xfId="3" applyNumberFormat="1" applyFont="1" applyProtection="1">
      <protection hidden="1"/>
    </xf>
    <xf numFmtId="0" fontId="23" fillId="0" borderId="0" xfId="4" applyFont="1" applyProtection="1">
      <protection hidden="1"/>
    </xf>
    <xf numFmtId="165" fontId="24" fillId="0" borderId="0" xfId="3" applyNumberFormat="1" applyFont="1" applyProtection="1">
      <protection hidden="1"/>
    </xf>
    <xf numFmtId="0" fontId="2" fillId="0" borderId="23" xfId="3" applyFont="1" applyBorder="1" applyProtection="1">
      <protection hidden="1"/>
    </xf>
    <xf numFmtId="0" fontId="2" fillId="0" borderId="24" xfId="3" applyFont="1" applyBorder="1" applyProtection="1">
      <protection hidden="1"/>
    </xf>
    <xf numFmtId="0" fontId="2" fillId="0" borderId="25" xfId="3" applyFont="1" applyBorder="1" applyProtection="1">
      <protection hidden="1"/>
    </xf>
    <xf numFmtId="164" fontId="25" fillId="5" borderId="0" xfId="3" applyNumberFormat="1" applyFont="1" applyFill="1" applyAlignment="1" applyProtection="1">
      <alignment horizontal="left"/>
      <protection hidden="1"/>
    </xf>
    <xf numFmtId="0" fontId="2" fillId="0" borderId="0" xfId="3" applyFont="1" applyAlignment="1" applyProtection="1">
      <alignment horizontal="left" indent="2"/>
      <protection hidden="1"/>
    </xf>
    <xf numFmtId="0" fontId="26" fillId="4" borderId="7" xfId="4" applyFont="1" applyFill="1" applyBorder="1" applyAlignment="1" applyProtection="1">
      <alignment wrapText="1"/>
      <protection hidden="1"/>
    </xf>
    <xf numFmtId="0" fontId="26" fillId="0" borderId="7" xfId="4" applyFont="1" applyBorder="1" applyAlignment="1" applyProtection="1">
      <alignment wrapText="1"/>
      <protection hidden="1"/>
    </xf>
    <xf numFmtId="0" fontId="26" fillId="4" borderId="8" xfId="4" applyFont="1" applyFill="1" applyBorder="1" applyAlignment="1" applyProtection="1">
      <alignment wrapText="1"/>
      <protection hidden="1"/>
    </xf>
    <xf numFmtId="0" fontId="2" fillId="0" borderId="0" xfId="4" applyFont="1" applyProtection="1">
      <protection hidden="1"/>
    </xf>
    <xf numFmtId="168" fontId="15" fillId="2" borderId="1" xfId="4" applyNumberFormat="1" applyFont="1" applyFill="1" applyBorder="1" applyAlignment="1" applyProtection="1">
      <alignment horizontal="center" vertical="top" wrapText="1"/>
      <protection hidden="1"/>
    </xf>
    <xf numFmtId="168" fontId="15" fillId="0" borderId="1" xfId="4" applyNumberFormat="1" applyFont="1" applyBorder="1" applyAlignment="1" applyProtection="1">
      <alignment horizontal="center" vertical="top" wrapText="1"/>
      <protection hidden="1"/>
    </xf>
    <xf numFmtId="168" fontId="2" fillId="0" borderId="0" xfId="4" applyNumberFormat="1" applyFont="1" applyProtection="1">
      <protection hidden="1"/>
    </xf>
    <xf numFmtId="0" fontId="12" fillId="2" borderId="1" xfId="4" applyFont="1" applyFill="1" applyBorder="1" applyAlignment="1" applyProtection="1">
      <alignment horizontal="center" vertical="top" wrapText="1"/>
      <protection hidden="1"/>
    </xf>
    <xf numFmtId="10" fontId="5" fillId="6" borderId="1" xfId="4" applyNumberFormat="1" applyFont="1" applyFill="1" applyBorder="1" applyAlignment="1" applyProtection="1">
      <alignment horizontal="right" vertical="top" wrapText="1" indent="3"/>
      <protection hidden="1"/>
    </xf>
    <xf numFmtId="10" fontId="5" fillId="0" borderId="1" xfId="4" applyNumberFormat="1" applyFont="1" applyBorder="1" applyAlignment="1" applyProtection="1">
      <alignment horizontal="right" vertical="top" wrapText="1" indent="3"/>
      <protection hidden="1"/>
    </xf>
    <xf numFmtId="2" fontId="6" fillId="6" borderId="1" xfId="4" applyNumberFormat="1" applyFont="1" applyFill="1" applyBorder="1" applyAlignment="1" applyProtection="1">
      <alignment horizontal="right" vertical="top" wrapText="1" indent="4"/>
      <protection hidden="1"/>
    </xf>
    <xf numFmtId="2" fontId="6" fillId="0" borderId="1" xfId="4" applyNumberFormat="1" applyFont="1" applyBorder="1" applyAlignment="1" applyProtection="1">
      <alignment horizontal="right" vertical="top" wrapText="1" indent="4"/>
      <protection hidden="1"/>
    </xf>
    <xf numFmtId="15" fontId="2" fillId="0" borderId="1" xfId="4" applyNumberFormat="1" applyFont="1" applyBorder="1" applyAlignment="1" applyProtection="1">
      <alignment horizontal="right"/>
      <protection hidden="1"/>
    </xf>
    <xf numFmtId="168" fontId="2" fillId="0" borderId="1" xfId="4" applyNumberFormat="1" applyFont="1" applyBorder="1" applyAlignment="1" applyProtection="1">
      <alignment horizontal="left"/>
      <protection hidden="1"/>
    </xf>
    <xf numFmtId="168" fontId="2" fillId="0" borderId="1" xfId="4" applyNumberFormat="1" applyFont="1" applyBorder="1" applyProtection="1">
      <protection hidden="1"/>
    </xf>
    <xf numFmtId="15" fontId="2" fillId="0" borderId="0" xfId="4" applyNumberFormat="1" applyFont="1" applyProtection="1">
      <protection hidden="1"/>
    </xf>
    <xf numFmtId="0" fontId="2" fillId="0" borderId="26" xfId="4" applyFont="1" applyBorder="1" applyProtection="1">
      <protection hidden="1"/>
    </xf>
    <xf numFmtId="15" fontId="2" fillId="0" borderId="26" xfId="4" applyNumberFormat="1" applyFont="1" applyBorder="1" applyProtection="1">
      <protection hidden="1"/>
    </xf>
    <xf numFmtId="168" fontId="2" fillId="0" borderId="26" xfId="4" applyNumberFormat="1" applyFont="1" applyBorder="1" applyProtection="1">
      <protection hidden="1"/>
    </xf>
    <xf numFmtId="164" fontId="8" fillId="0" borderId="0" xfId="4" applyNumberFormat="1" applyFont="1" applyAlignment="1" applyProtection="1">
      <alignment horizontal="center" vertical="top"/>
      <protection hidden="1"/>
    </xf>
    <xf numFmtId="164" fontId="8" fillId="6" borderId="0" xfId="4" applyNumberFormat="1" applyFont="1" applyFill="1" applyAlignment="1" applyProtection="1">
      <alignment vertical="top"/>
      <protection hidden="1"/>
    </xf>
    <xf numFmtId="0" fontId="26" fillId="0" borderId="0" xfId="4" applyFont="1" applyAlignment="1" applyProtection="1">
      <alignment horizontal="center" wrapText="1"/>
      <protection hidden="1"/>
    </xf>
    <xf numFmtId="49" fontId="3" fillId="0" borderId="0" xfId="4" applyNumberFormat="1" applyFont="1" applyAlignment="1" applyProtection="1">
      <alignment horizontal="right" vertical="center"/>
      <protection hidden="1"/>
    </xf>
    <xf numFmtId="49" fontId="4" fillId="9" borderId="18" xfId="3" applyNumberFormat="1" applyFont="1" applyFill="1" applyBorder="1" applyAlignment="1" applyProtection="1">
      <alignment horizontal="left"/>
      <protection locked="0" hidden="1"/>
    </xf>
    <xf numFmtId="169" fontId="4" fillId="9" borderId="18" xfId="3" applyNumberFormat="1" applyFont="1" applyFill="1" applyBorder="1" applyAlignment="1" applyProtection="1">
      <alignment horizontal="center"/>
      <protection locked="0" hidden="1"/>
    </xf>
    <xf numFmtId="3" fontId="4" fillId="9" borderId="18" xfId="3" applyNumberFormat="1" applyFont="1" applyFill="1" applyBorder="1" applyAlignment="1" applyProtection="1">
      <alignment horizontal="right"/>
      <protection locked="0" hidden="1"/>
    </xf>
    <xf numFmtId="4" fontId="4" fillId="0" borderId="0" xfId="3" applyNumberFormat="1" applyFont="1" applyProtection="1">
      <protection hidden="1"/>
    </xf>
    <xf numFmtId="170" fontId="2" fillId="0" borderId="0" xfId="4" applyNumberFormat="1" applyFont="1" applyProtection="1">
      <protection hidden="1"/>
    </xf>
    <xf numFmtId="4" fontId="17" fillId="10" borderId="24" xfId="4" applyNumberFormat="1" applyFont="1" applyFill="1" applyBorder="1" applyAlignment="1" applyProtection="1">
      <alignment horizontal="right" vertical="center"/>
      <protection hidden="1"/>
    </xf>
    <xf numFmtId="0" fontId="23" fillId="0" borderId="27" xfId="4" applyFont="1" applyBorder="1" applyProtection="1">
      <protection hidden="1"/>
    </xf>
    <xf numFmtId="0" fontId="23" fillId="0" borderId="28" xfId="4" applyFont="1" applyBorder="1" applyProtection="1">
      <protection hidden="1"/>
    </xf>
    <xf numFmtId="0" fontId="2" fillId="0" borderId="0" xfId="4" applyFont="1" applyAlignment="1" applyProtection="1">
      <alignment horizontal="center"/>
      <protection hidden="1"/>
    </xf>
    <xf numFmtId="1" fontId="2" fillId="0" borderId="0" xfId="4" applyNumberFormat="1" applyFont="1" applyProtection="1">
      <protection hidden="1"/>
    </xf>
    <xf numFmtId="2" fontId="2" fillId="0" borderId="0" xfId="5" applyNumberFormat="1" applyFont="1" applyProtection="1">
      <protection hidden="1"/>
    </xf>
    <xf numFmtId="168" fontId="2" fillId="0" borderId="0" xfId="4" applyNumberFormat="1" applyFont="1" applyAlignment="1" applyProtection="1">
      <alignment horizontal="center"/>
      <protection hidden="1"/>
    </xf>
    <xf numFmtId="0" fontId="30" fillId="0" borderId="0" xfId="0" applyFont="1" applyProtection="1">
      <protection hidden="1"/>
    </xf>
    <xf numFmtId="0" fontId="30" fillId="0" borderId="0" xfId="0" applyFont="1" applyAlignment="1" applyProtection="1">
      <alignment vertical="top"/>
      <protection hidden="1"/>
    </xf>
    <xf numFmtId="0" fontId="8" fillId="0" borderId="0" xfId="0" applyFont="1" applyAlignment="1" applyProtection="1">
      <alignment vertical="top"/>
      <protection hidden="1"/>
    </xf>
    <xf numFmtId="164" fontId="25" fillId="5" borderId="0" xfId="0" applyNumberFormat="1" applyFont="1" applyFill="1" applyAlignment="1" applyProtection="1">
      <alignment vertical="top" wrapText="1"/>
      <protection hidden="1"/>
    </xf>
    <xf numFmtId="164" fontId="2" fillId="5" borderId="0" xfId="0" applyNumberFormat="1" applyFont="1" applyFill="1" applyAlignment="1" applyProtection="1">
      <alignment vertical="top" wrapText="1"/>
      <protection hidden="1"/>
    </xf>
    <xf numFmtId="164" fontId="2" fillId="0" borderId="0" xfId="0" applyNumberFormat="1" applyFont="1" applyAlignment="1" applyProtection="1">
      <alignment vertical="top"/>
      <protection hidden="1"/>
    </xf>
    <xf numFmtId="164" fontId="2" fillId="5" borderId="29" xfId="0" applyNumberFormat="1" applyFont="1" applyFill="1" applyBorder="1" applyAlignment="1" applyProtection="1">
      <alignment horizontal="right" vertical="top" wrapText="1" indent="1"/>
      <protection hidden="1"/>
    </xf>
    <xf numFmtId="164" fontId="2" fillId="5" borderId="30" xfId="0" applyNumberFormat="1" applyFont="1" applyFill="1" applyBorder="1" applyAlignment="1" applyProtection="1">
      <alignment vertical="top" wrapText="1"/>
      <protection hidden="1"/>
    </xf>
    <xf numFmtId="0" fontId="2" fillId="0" borderId="0" xfId="0" applyFont="1" applyAlignment="1" applyProtection="1">
      <alignment vertical="top"/>
      <protection hidden="1"/>
    </xf>
    <xf numFmtId="164" fontId="15" fillId="5" borderId="30" xfId="0" applyNumberFormat="1" applyFont="1" applyFill="1" applyBorder="1" applyAlignment="1" applyProtection="1">
      <alignment vertical="top" wrapText="1"/>
      <protection hidden="1"/>
    </xf>
    <xf numFmtId="0" fontId="2" fillId="0" borderId="0" xfId="0" applyFont="1" applyAlignment="1" applyProtection="1">
      <alignment vertical="top" wrapText="1"/>
      <protection hidden="1"/>
    </xf>
    <xf numFmtId="0" fontId="34" fillId="0" borderId="0" xfId="0" applyFont="1" applyAlignment="1" applyProtection="1">
      <alignment horizontal="center" vertical="top" wrapText="1"/>
      <protection hidden="1"/>
    </xf>
    <xf numFmtId="0" fontId="15" fillId="0" borderId="0" xfId="0" applyFont="1" applyAlignment="1" applyProtection="1">
      <alignment vertical="top"/>
      <protection hidden="1"/>
    </xf>
    <xf numFmtId="0" fontId="2" fillId="0" borderId="0" xfId="0" applyFont="1" applyProtection="1">
      <protection hidden="1"/>
    </xf>
    <xf numFmtId="2" fontId="4" fillId="9" borderId="4" xfId="0" applyNumberFormat="1" applyFont="1" applyFill="1" applyBorder="1" applyAlignment="1" applyProtection="1">
      <alignment horizontal="center" vertical="center"/>
      <protection locked="0" hidden="1"/>
    </xf>
    <xf numFmtId="164" fontId="4" fillId="9" borderId="1" xfId="0" applyNumberFormat="1" applyFont="1" applyFill="1" applyBorder="1" applyAlignment="1" applyProtection="1">
      <alignment horizontal="center" vertical="center"/>
      <protection locked="0" hidden="1"/>
    </xf>
    <xf numFmtId="10" fontId="4" fillId="9" borderId="1" xfId="0" applyNumberFormat="1" applyFont="1" applyFill="1" applyBorder="1" applyAlignment="1" applyProtection="1">
      <alignment horizontal="center" vertical="center"/>
      <protection locked="0" hidden="1"/>
    </xf>
    <xf numFmtId="2" fontId="4" fillId="9" borderId="1" xfId="0" applyNumberFormat="1" applyFont="1" applyFill="1" applyBorder="1" applyAlignment="1" applyProtection="1">
      <alignment horizontal="center" vertical="center"/>
      <protection locked="0" hidden="1"/>
    </xf>
    <xf numFmtId="164" fontId="2" fillId="0" borderId="0" xfId="0" applyNumberFormat="1" applyFont="1" applyAlignment="1" applyProtection="1">
      <alignment horizontal="right"/>
      <protection hidden="1"/>
    </xf>
    <xf numFmtId="0" fontId="2" fillId="0" borderId="0" xfId="3" quotePrefix="1" applyFont="1" applyProtection="1">
      <protection hidden="1"/>
    </xf>
    <xf numFmtId="164" fontId="15" fillId="2" borderId="18" xfId="4" applyNumberFormat="1" applyFont="1" applyFill="1" applyBorder="1" applyAlignment="1" applyProtection="1">
      <alignment horizontal="right" vertical="center" wrapText="1"/>
      <protection hidden="1"/>
    </xf>
    <xf numFmtId="167" fontId="4" fillId="0" borderId="19" xfId="3" applyNumberFormat="1" applyFont="1" applyBorder="1" applyProtection="1">
      <protection hidden="1"/>
    </xf>
    <xf numFmtId="3" fontId="4" fillId="0" borderId="19" xfId="3" applyNumberFormat="1" applyFont="1" applyBorder="1" applyProtection="1">
      <protection hidden="1"/>
    </xf>
    <xf numFmtId="10" fontId="2" fillId="0" borderId="0" xfId="0" applyNumberFormat="1" applyFont="1" applyAlignment="1" applyProtection="1">
      <alignment horizontal="right"/>
      <protection hidden="1"/>
    </xf>
    <xf numFmtId="9" fontId="2" fillId="0" borderId="0" xfId="4" applyNumberFormat="1" applyFont="1" applyProtection="1">
      <protection hidden="1"/>
    </xf>
    <xf numFmtId="0" fontId="36" fillId="0" borderId="0" xfId="0" applyFont="1" applyAlignment="1" applyProtection="1">
      <alignment horizontal="left"/>
      <protection hidden="1"/>
    </xf>
    <xf numFmtId="0" fontId="3" fillId="0" borderId="0" xfId="4" applyFont="1" applyAlignment="1" applyProtection="1">
      <alignment horizontal="right"/>
      <protection hidden="1"/>
    </xf>
    <xf numFmtId="171" fontId="2" fillId="0" borderId="0" xfId="1" applyNumberFormat="1" applyFont="1" applyProtection="1">
      <protection hidden="1"/>
    </xf>
    <xf numFmtId="171" fontId="2" fillId="0" borderId="0" xfId="4" applyNumberFormat="1" applyFont="1" applyProtection="1">
      <protection hidden="1"/>
    </xf>
    <xf numFmtId="49" fontId="4" fillId="9" borderId="55" xfId="3" applyNumberFormat="1" applyFont="1" applyFill="1" applyBorder="1" applyAlignment="1" applyProtection="1">
      <alignment horizontal="left"/>
      <protection locked="0" hidden="1"/>
    </xf>
    <xf numFmtId="3" fontId="4" fillId="9" borderId="55" xfId="3" applyNumberFormat="1" applyFont="1" applyFill="1" applyBorder="1" applyAlignment="1" applyProtection="1">
      <alignment horizontal="right"/>
      <protection locked="0" hidden="1"/>
    </xf>
    <xf numFmtId="4" fontId="4" fillId="9" borderId="55" xfId="3" applyNumberFormat="1" applyFont="1" applyFill="1" applyBorder="1" applyAlignment="1" applyProtection="1">
      <alignment horizontal="right"/>
      <protection locked="0" hidden="1"/>
    </xf>
    <xf numFmtId="169" fontId="4" fillId="9" borderId="55" xfId="3" applyNumberFormat="1" applyFont="1" applyFill="1" applyBorder="1" applyAlignment="1" applyProtection="1">
      <alignment horizontal="right"/>
      <protection locked="0" hidden="1"/>
    </xf>
    <xf numFmtId="0" fontId="3" fillId="0" borderId="0" xfId="4" applyFont="1" applyProtection="1">
      <protection hidden="1"/>
    </xf>
    <xf numFmtId="164" fontId="3" fillId="4" borderId="34" xfId="0" applyNumberFormat="1" applyFont="1" applyFill="1" applyBorder="1" applyAlignment="1" applyProtection="1">
      <alignment horizontal="left" vertical="center"/>
      <protection hidden="1"/>
    </xf>
    <xf numFmtId="164" fontId="3" fillId="4" borderId="35" xfId="0" applyNumberFormat="1" applyFont="1" applyFill="1" applyBorder="1" applyAlignment="1" applyProtection="1">
      <alignment horizontal="left" vertical="center"/>
      <protection hidden="1"/>
    </xf>
    <xf numFmtId="164" fontId="3" fillId="4" borderId="36" xfId="0" applyNumberFormat="1" applyFont="1" applyFill="1" applyBorder="1" applyAlignment="1" applyProtection="1">
      <alignment horizontal="left" vertical="center"/>
      <protection hidden="1"/>
    </xf>
    <xf numFmtId="164" fontId="13" fillId="4" borderId="37" xfId="0" applyNumberFormat="1" applyFont="1" applyFill="1" applyBorder="1" applyAlignment="1" applyProtection="1">
      <alignment horizontal="left" vertical="center"/>
      <protection hidden="1"/>
    </xf>
    <xf numFmtId="164" fontId="1" fillId="5" borderId="30" xfId="0" applyNumberFormat="1" applyFont="1" applyFill="1" applyBorder="1" applyAlignment="1" applyProtection="1">
      <alignment vertical="top" wrapText="1"/>
      <protection hidden="1"/>
    </xf>
    <xf numFmtId="0" fontId="1" fillId="0" borderId="0" xfId="3" applyFont="1" applyAlignment="1" applyProtection="1">
      <alignment horizontal="left" indent="2"/>
      <protection hidden="1"/>
    </xf>
    <xf numFmtId="0" fontId="1" fillId="0" borderId="0" xfId="0" applyFont="1" applyAlignment="1" applyProtection="1">
      <alignment vertical="top" wrapText="1"/>
      <protection hidden="1"/>
    </xf>
    <xf numFmtId="164" fontId="1" fillId="5" borderId="0" xfId="0" quotePrefix="1" applyNumberFormat="1" applyFont="1" applyFill="1" applyAlignment="1" applyProtection="1">
      <alignment vertical="center"/>
      <protection hidden="1"/>
    </xf>
    <xf numFmtId="164" fontId="1" fillId="5" borderId="0" xfId="0" quotePrefix="1" applyNumberFormat="1" applyFont="1" applyFill="1" applyAlignment="1" applyProtection="1">
      <alignment horizontal="right" vertical="center"/>
      <protection hidden="1"/>
    </xf>
    <xf numFmtId="0" fontId="1" fillId="0" borderId="0" xfId="4" applyFont="1" applyProtection="1">
      <protection hidden="1"/>
    </xf>
    <xf numFmtId="0" fontId="1" fillId="0" borderId="0" xfId="0" applyFont="1"/>
    <xf numFmtId="0" fontId="37" fillId="0" borderId="0" xfId="0" applyFont="1" applyAlignment="1">
      <alignment horizontal="left" vertical="center" wrapText="1"/>
    </xf>
    <xf numFmtId="0" fontId="2" fillId="0" borderId="0" xfId="0" applyFont="1" applyAlignment="1" applyProtection="1">
      <alignment vertical="center"/>
      <protection hidden="1"/>
    </xf>
    <xf numFmtId="169" fontId="8" fillId="9" borderId="0" xfId="0" applyNumberFormat="1" applyFont="1" applyFill="1" applyAlignment="1" applyProtection="1">
      <alignment horizontal="left" vertical="top"/>
      <protection locked="0" hidden="1"/>
    </xf>
    <xf numFmtId="0" fontId="1" fillId="0" borderId="0" xfId="0" applyFont="1" applyAlignment="1" applyProtection="1">
      <alignment horizontal="right" vertical="top"/>
      <protection hidden="1"/>
    </xf>
    <xf numFmtId="0" fontId="1" fillId="0" borderId="0" xfId="3" applyFont="1" applyAlignment="1" applyProtection="1">
      <alignment horizontal="right"/>
      <protection hidden="1"/>
    </xf>
    <xf numFmtId="0" fontId="1" fillId="0" borderId="0" xfId="0" applyFont="1" applyAlignment="1" applyProtection="1">
      <alignment horizontal="right"/>
      <protection hidden="1"/>
    </xf>
    <xf numFmtId="0" fontId="26" fillId="4" borderId="0" xfId="4" applyFont="1" applyFill="1" applyAlignment="1" applyProtection="1">
      <alignment wrapText="1"/>
      <protection hidden="1"/>
    </xf>
    <xf numFmtId="0" fontId="26" fillId="0" borderId="0" xfId="4" applyFont="1" applyAlignment="1" applyProtection="1">
      <alignment wrapText="1"/>
      <protection hidden="1"/>
    </xf>
    <xf numFmtId="164" fontId="2" fillId="5" borderId="30" xfId="0" applyNumberFormat="1" applyFont="1" applyFill="1" applyBorder="1" applyAlignment="1">
      <alignment vertical="top" wrapText="1"/>
    </xf>
    <xf numFmtId="164" fontId="1" fillId="5" borderId="30" xfId="0" applyNumberFormat="1" applyFont="1" applyFill="1" applyBorder="1" applyAlignment="1">
      <alignment vertical="top" wrapText="1"/>
    </xf>
    <xf numFmtId="164" fontId="1" fillId="0" borderId="30" xfId="0" applyNumberFormat="1" applyFont="1" applyBorder="1" applyAlignment="1">
      <alignment vertical="top" wrapText="1"/>
    </xf>
    <xf numFmtId="37" fontId="1" fillId="0" borderId="0" xfId="1" applyNumberFormat="1" applyFont="1" applyProtection="1">
      <protection hidden="1"/>
    </xf>
    <xf numFmtId="0" fontId="28" fillId="0" borderId="0" xfId="3" applyFont="1" applyAlignment="1" applyProtection="1">
      <alignment horizontal="right"/>
      <protection hidden="1"/>
    </xf>
    <xf numFmtId="172" fontId="4" fillId="9" borderId="55" xfId="3" applyNumberFormat="1" applyFont="1" applyFill="1" applyBorder="1" applyAlignment="1" applyProtection="1">
      <alignment horizontal="right"/>
      <protection locked="0" hidden="1"/>
    </xf>
    <xf numFmtId="164" fontId="3" fillId="13" borderId="1" xfId="0" applyNumberFormat="1" applyFont="1" applyFill="1" applyBorder="1" applyAlignment="1" applyProtection="1">
      <alignment horizontal="center" vertical="center"/>
      <protection hidden="1"/>
    </xf>
    <xf numFmtId="164" fontId="3" fillId="13" borderId="1" xfId="0" applyNumberFormat="1" applyFont="1" applyFill="1" applyBorder="1" applyAlignment="1" applyProtection="1">
      <alignment horizontal="right" vertical="center"/>
      <protection hidden="1"/>
    </xf>
    <xf numFmtId="164" fontId="3" fillId="13" borderId="2" xfId="0" applyNumberFormat="1" applyFont="1" applyFill="1" applyBorder="1" applyAlignment="1" applyProtection="1">
      <alignment horizontal="right" vertical="center"/>
      <protection hidden="1"/>
    </xf>
    <xf numFmtId="164" fontId="3" fillId="13" borderId="2" xfId="0" applyNumberFormat="1" applyFont="1" applyFill="1" applyBorder="1" applyAlignment="1" applyProtection="1">
      <alignment horizontal="right" vertical="center"/>
      <protection locked="0" hidden="1"/>
    </xf>
    <xf numFmtId="164" fontId="3" fillId="13" borderId="11" xfId="0" applyNumberFormat="1" applyFont="1" applyFill="1" applyBorder="1" applyAlignment="1" applyProtection="1">
      <alignment horizontal="right" vertical="center"/>
      <protection hidden="1"/>
    </xf>
    <xf numFmtId="164" fontId="3" fillId="13" borderId="11" xfId="0" applyNumberFormat="1" applyFont="1" applyFill="1" applyBorder="1" applyAlignment="1" applyProtection="1">
      <alignment horizontal="right" vertical="center"/>
      <protection locked="0" hidden="1"/>
    </xf>
    <xf numFmtId="0" fontId="3" fillId="13" borderId="6" xfId="0" applyFont="1" applyFill="1" applyBorder="1" applyAlignment="1" applyProtection="1">
      <alignment horizontal="right"/>
      <protection hidden="1"/>
    </xf>
    <xf numFmtId="164" fontId="3" fillId="13" borderId="12" xfId="0" applyNumberFormat="1" applyFont="1" applyFill="1" applyBorder="1" applyAlignment="1" applyProtection="1">
      <alignment horizontal="right"/>
      <protection hidden="1"/>
    </xf>
    <xf numFmtId="164" fontId="3" fillId="13" borderId="3" xfId="0" applyNumberFormat="1" applyFont="1" applyFill="1" applyBorder="1" applyAlignment="1" applyProtection="1">
      <alignment horizontal="right" wrapText="1"/>
      <protection hidden="1"/>
    </xf>
    <xf numFmtId="164" fontId="3" fillId="13" borderId="12" xfId="0" applyNumberFormat="1" applyFont="1" applyFill="1" applyBorder="1" applyAlignment="1" applyProtection="1">
      <alignment horizontal="right" vertical="center"/>
      <protection hidden="1"/>
    </xf>
    <xf numFmtId="164" fontId="3" fillId="14" borderId="6" xfId="0" applyNumberFormat="1" applyFont="1" applyFill="1" applyBorder="1" applyAlignment="1" applyProtection="1">
      <alignment horizontal="left" vertical="center"/>
      <protection hidden="1"/>
    </xf>
    <xf numFmtId="164" fontId="3" fillId="14" borderId="7" xfId="0" applyNumberFormat="1" applyFont="1" applyFill="1" applyBorder="1" applyAlignment="1" applyProtection="1">
      <alignment horizontal="left" vertical="center"/>
      <protection hidden="1"/>
    </xf>
    <xf numFmtId="9" fontId="2" fillId="13" borderId="4" xfId="0" applyNumberFormat="1" applyFont="1" applyFill="1" applyBorder="1" applyAlignment="1" applyProtection="1">
      <alignment horizontal="center" vertical="center"/>
      <protection hidden="1"/>
    </xf>
    <xf numFmtId="164" fontId="38" fillId="13" borderId="38" xfId="0" applyNumberFormat="1" applyFont="1" applyFill="1" applyBorder="1" applyAlignment="1" applyProtection="1">
      <alignment horizontal="left" vertical="center"/>
      <protection hidden="1"/>
    </xf>
    <xf numFmtId="164" fontId="38" fillId="13" borderId="39" xfId="0" applyNumberFormat="1" applyFont="1" applyFill="1" applyBorder="1" applyAlignment="1" applyProtection="1">
      <alignment horizontal="left" vertical="center"/>
      <protection hidden="1"/>
    </xf>
    <xf numFmtId="164" fontId="38" fillId="13" borderId="40" xfId="0" applyNumberFormat="1" applyFont="1" applyFill="1" applyBorder="1" applyAlignment="1" applyProtection="1">
      <alignment horizontal="left" vertical="center"/>
      <protection hidden="1"/>
    </xf>
    <xf numFmtId="164" fontId="38" fillId="13" borderId="9" xfId="0" applyNumberFormat="1" applyFont="1" applyFill="1" applyBorder="1" applyAlignment="1" applyProtection="1">
      <alignment horizontal="left" vertical="center"/>
      <protection hidden="1"/>
    </xf>
    <xf numFmtId="164" fontId="38" fillId="13" borderId="7" xfId="0" applyNumberFormat="1" applyFont="1" applyFill="1" applyBorder="1" applyAlignment="1" applyProtection="1">
      <alignment horizontal="left" vertical="center"/>
      <protection hidden="1"/>
    </xf>
    <xf numFmtId="164" fontId="38" fillId="13" borderId="8" xfId="0" applyNumberFormat="1" applyFont="1" applyFill="1" applyBorder="1" applyAlignment="1" applyProtection="1">
      <alignment horizontal="left" vertical="center"/>
      <protection hidden="1"/>
    </xf>
    <xf numFmtId="164" fontId="39" fillId="4" borderId="9" xfId="0" applyNumberFormat="1" applyFont="1" applyFill="1" applyBorder="1" applyAlignment="1" applyProtection="1">
      <alignment horizontal="left" vertical="center"/>
      <protection hidden="1"/>
    </xf>
    <xf numFmtId="164" fontId="39" fillId="4" borderId="7" xfId="0" applyNumberFormat="1" applyFont="1" applyFill="1" applyBorder="1" applyAlignment="1" applyProtection="1">
      <alignment horizontal="left" vertical="center"/>
      <protection hidden="1"/>
    </xf>
    <xf numFmtId="164" fontId="38" fillId="13" borderId="9" xfId="0" applyNumberFormat="1" applyFont="1" applyFill="1" applyBorder="1" applyAlignment="1" applyProtection="1">
      <alignment vertical="center"/>
      <protection hidden="1"/>
    </xf>
    <xf numFmtId="0" fontId="38" fillId="13" borderId="7" xfId="0" applyFont="1" applyFill="1" applyBorder="1" applyAlignment="1" applyProtection="1">
      <alignment vertical="center"/>
      <protection hidden="1"/>
    </xf>
    <xf numFmtId="0" fontId="38" fillId="13" borderId="8" xfId="0" applyFont="1" applyFill="1" applyBorder="1" applyAlignment="1" applyProtection="1">
      <alignment vertical="center"/>
      <protection hidden="1"/>
    </xf>
    <xf numFmtId="0" fontId="38" fillId="13" borderId="7" xfId="0" applyFont="1" applyFill="1" applyBorder="1" applyAlignment="1" applyProtection="1">
      <alignment horizontal="left" vertical="center"/>
      <protection hidden="1"/>
    </xf>
    <xf numFmtId="0" fontId="38" fillId="13" borderId="8" xfId="0" applyFont="1" applyFill="1" applyBorder="1" applyAlignment="1" applyProtection="1">
      <alignment horizontal="left" vertical="center"/>
      <protection hidden="1"/>
    </xf>
    <xf numFmtId="164" fontId="38" fillId="13" borderId="10" xfId="0" applyNumberFormat="1" applyFont="1" applyFill="1" applyBorder="1" applyAlignment="1" applyProtection="1">
      <alignment horizontal="left" vertical="center"/>
      <protection hidden="1"/>
    </xf>
    <xf numFmtId="0" fontId="38" fillId="13" borderId="16" xfId="0" applyFont="1" applyFill="1" applyBorder="1" applyAlignment="1" applyProtection="1">
      <alignment horizontal="left" vertical="center"/>
      <protection hidden="1"/>
    </xf>
    <xf numFmtId="0" fontId="38" fillId="13" borderId="17" xfId="0" applyFont="1" applyFill="1" applyBorder="1" applyAlignment="1" applyProtection="1">
      <alignment horizontal="left" vertical="center"/>
      <protection hidden="1"/>
    </xf>
    <xf numFmtId="164" fontId="40" fillId="15" borderId="33" xfId="0" applyNumberFormat="1" applyFont="1" applyFill="1" applyBorder="1" applyAlignment="1" applyProtection="1">
      <alignment horizontal="center" vertical="center"/>
      <protection hidden="1"/>
    </xf>
    <xf numFmtId="164" fontId="41" fillId="16" borderId="6" xfId="0" applyNumberFormat="1" applyFont="1" applyFill="1" applyBorder="1" applyAlignment="1" applyProtection="1">
      <alignment horizontal="left" vertical="center"/>
      <protection hidden="1"/>
    </xf>
    <xf numFmtId="164" fontId="41" fillId="16" borderId="7" xfId="0" applyNumberFormat="1" applyFont="1" applyFill="1" applyBorder="1" applyAlignment="1" applyProtection="1">
      <alignment horizontal="left" vertical="center"/>
      <protection hidden="1"/>
    </xf>
    <xf numFmtId="164" fontId="38" fillId="13" borderId="6" xfId="0" applyNumberFormat="1" applyFont="1" applyFill="1" applyBorder="1" applyAlignment="1" applyProtection="1">
      <alignment vertical="center"/>
      <protection hidden="1"/>
    </xf>
    <xf numFmtId="164" fontId="38" fillId="13" borderId="7" xfId="0" applyNumberFormat="1" applyFont="1" applyFill="1" applyBorder="1" applyAlignment="1" applyProtection="1">
      <alignment vertical="center"/>
      <protection hidden="1"/>
    </xf>
    <xf numFmtId="164" fontId="39" fillId="13" borderId="6" xfId="0" applyNumberFormat="1" applyFont="1" applyFill="1" applyBorder="1" applyAlignment="1" applyProtection="1">
      <alignment horizontal="left" vertical="center"/>
      <protection hidden="1"/>
    </xf>
    <xf numFmtId="164" fontId="39" fillId="13" borderId="7" xfId="0" applyNumberFormat="1" applyFont="1" applyFill="1" applyBorder="1" applyAlignment="1" applyProtection="1">
      <alignment horizontal="left" vertical="center"/>
      <protection hidden="1"/>
    </xf>
    <xf numFmtId="164" fontId="38" fillId="13" borderId="6" xfId="0" applyNumberFormat="1" applyFont="1" applyFill="1" applyBorder="1" applyAlignment="1" applyProtection="1">
      <alignment horizontal="left" vertical="center"/>
      <protection hidden="1"/>
    </xf>
    <xf numFmtId="164" fontId="39" fillId="14" borderId="6" xfId="0" applyNumberFormat="1" applyFont="1" applyFill="1" applyBorder="1" applyAlignment="1" applyProtection="1">
      <alignment horizontal="left" vertical="center"/>
      <protection hidden="1"/>
    </xf>
    <xf numFmtId="164" fontId="39" fillId="14" borderId="7" xfId="0" applyNumberFormat="1" applyFont="1" applyFill="1" applyBorder="1" applyAlignment="1" applyProtection="1">
      <alignment horizontal="left" vertical="center"/>
      <protection hidden="1"/>
    </xf>
    <xf numFmtId="164" fontId="39" fillId="14" borderId="8" xfId="0" applyNumberFormat="1" applyFont="1" applyFill="1" applyBorder="1" applyAlignment="1" applyProtection="1">
      <alignment horizontal="left" vertical="center"/>
      <protection hidden="1"/>
    </xf>
    <xf numFmtId="164" fontId="38" fillId="13" borderId="11" xfId="0" applyNumberFormat="1" applyFont="1" applyFill="1" applyBorder="1" applyAlignment="1" applyProtection="1">
      <alignment horizontal="left" vertical="center"/>
      <protection hidden="1"/>
    </xf>
    <xf numFmtId="164" fontId="38" fillId="13" borderId="0" xfId="0" applyNumberFormat="1" applyFont="1" applyFill="1" applyAlignment="1" applyProtection="1">
      <alignment vertical="center"/>
      <protection hidden="1"/>
    </xf>
    <xf numFmtId="164" fontId="38" fillId="13" borderId="8" xfId="0" applyNumberFormat="1" applyFont="1" applyFill="1" applyBorder="1" applyAlignment="1" applyProtection="1">
      <alignment vertical="center"/>
      <protection hidden="1"/>
    </xf>
    <xf numFmtId="164" fontId="42" fillId="15" borderId="4" xfId="0" applyNumberFormat="1" applyFont="1" applyFill="1" applyBorder="1" applyAlignment="1" applyProtection="1">
      <alignment horizontal="center" vertical="center"/>
      <protection locked="0" hidden="1"/>
    </xf>
    <xf numFmtId="164" fontId="42" fillId="15" borderId="1" xfId="0" applyNumberFormat="1" applyFont="1" applyFill="1" applyBorder="1" applyAlignment="1" applyProtection="1">
      <alignment horizontal="center" vertical="center"/>
      <protection locked="0" hidden="1"/>
    </xf>
    <xf numFmtId="164" fontId="42" fillId="15" borderId="32" xfId="0" applyNumberFormat="1" applyFont="1" applyFill="1" applyBorder="1" applyAlignment="1" applyProtection="1">
      <alignment horizontal="center" vertical="center"/>
      <protection locked="0" hidden="1"/>
    </xf>
    <xf numFmtId="10" fontId="42" fillId="15" borderId="4" xfId="0" applyNumberFormat="1" applyFont="1" applyFill="1" applyBorder="1" applyAlignment="1" applyProtection="1">
      <alignment horizontal="center" vertical="center"/>
      <protection locked="0" hidden="1"/>
    </xf>
    <xf numFmtId="1" fontId="42" fillId="15" borderId="4" xfId="0" applyNumberFormat="1" applyFont="1" applyFill="1" applyBorder="1" applyAlignment="1" applyProtection="1">
      <alignment horizontal="center" vertical="center"/>
      <protection locked="0" hidden="1"/>
    </xf>
    <xf numFmtId="164" fontId="42" fillId="15" borderId="33" xfId="0" applyNumberFormat="1" applyFont="1" applyFill="1" applyBorder="1" applyAlignment="1" applyProtection="1">
      <alignment horizontal="center" vertical="center"/>
      <protection locked="0" hidden="1"/>
    </xf>
    <xf numFmtId="164" fontId="38" fillId="13" borderId="18" xfId="4" applyNumberFormat="1" applyFont="1" applyFill="1" applyBorder="1" applyAlignment="1" applyProtection="1">
      <alignment horizontal="left" vertical="center"/>
      <protection hidden="1"/>
    </xf>
    <xf numFmtId="164" fontId="15" fillId="13" borderId="18" xfId="4" applyNumberFormat="1" applyFont="1" applyFill="1" applyBorder="1" applyAlignment="1" applyProtection="1">
      <alignment horizontal="right" vertical="center" wrapText="1"/>
      <protection locked="0" hidden="1"/>
    </xf>
    <xf numFmtId="164" fontId="38" fillId="13" borderId="18" xfId="4" applyNumberFormat="1" applyFont="1" applyFill="1" applyBorder="1" applyAlignment="1" applyProtection="1">
      <alignment vertical="center"/>
      <protection hidden="1"/>
    </xf>
    <xf numFmtId="164" fontId="39" fillId="13" borderId="18" xfId="4" applyNumberFormat="1" applyFont="1" applyFill="1" applyBorder="1" applyAlignment="1" applyProtection="1">
      <alignment horizontal="left" vertical="center"/>
      <protection hidden="1"/>
    </xf>
    <xf numFmtId="10" fontId="43" fillId="15" borderId="18" xfId="3" applyNumberFormat="1" applyFont="1" applyFill="1" applyBorder="1" applyProtection="1">
      <protection locked="0" hidden="1"/>
    </xf>
    <xf numFmtId="49" fontId="15" fillId="13" borderId="1" xfId="4" applyNumberFormat="1" applyFont="1" applyFill="1" applyBorder="1" applyAlignment="1" applyProtection="1">
      <alignment horizontal="right" vertical="center"/>
      <protection hidden="1"/>
    </xf>
    <xf numFmtId="4" fontId="38" fillId="13" borderId="18" xfId="3" applyNumberFormat="1" applyFont="1" applyFill="1" applyBorder="1" applyProtection="1">
      <protection hidden="1"/>
    </xf>
    <xf numFmtId="49" fontId="15" fillId="13" borderId="1" xfId="4" applyNumberFormat="1" applyFont="1" applyFill="1" applyBorder="1" applyAlignment="1" applyProtection="1">
      <alignment horizontal="left" vertical="center"/>
      <protection hidden="1"/>
    </xf>
    <xf numFmtId="49" fontId="15" fillId="13" borderId="1" xfId="4" applyNumberFormat="1" applyFont="1" applyFill="1" applyBorder="1" applyAlignment="1" applyProtection="1">
      <alignment horizontal="center" vertical="center"/>
      <protection hidden="1"/>
    </xf>
    <xf numFmtId="49" fontId="15" fillId="13" borderId="55" xfId="4" applyNumberFormat="1" applyFont="1" applyFill="1" applyBorder="1" applyAlignment="1" applyProtection="1">
      <alignment horizontal="right" vertical="center"/>
      <protection hidden="1"/>
    </xf>
    <xf numFmtId="3" fontId="38" fillId="13" borderId="55" xfId="3" applyNumberFormat="1" applyFont="1" applyFill="1" applyBorder="1" applyProtection="1">
      <protection hidden="1"/>
    </xf>
    <xf numFmtId="4" fontId="38" fillId="13" borderId="55" xfId="3" applyNumberFormat="1" applyFont="1" applyFill="1" applyBorder="1" applyAlignment="1" applyProtection="1">
      <alignment horizontal="center"/>
      <protection hidden="1"/>
    </xf>
    <xf numFmtId="49" fontId="15" fillId="13" borderId="60" xfId="4" applyNumberFormat="1" applyFont="1" applyFill="1" applyBorder="1" applyAlignment="1" applyProtection="1">
      <alignment horizontal="left" vertical="center"/>
      <protection hidden="1"/>
    </xf>
    <xf numFmtId="49" fontId="15" fillId="13" borderId="61" xfId="4" applyNumberFormat="1" applyFont="1" applyFill="1" applyBorder="1" applyAlignment="1" applyProtection="1">
      <alignment horizontal="left" vertical="center"/>
      <protection hidden="1"/>
    </xf>
    <xf numFmtId="0" fontId="44" fillId="9" borderId="0" xfId="0" applyFont="1" applyFill="1" applyAlignment="1" applyProtection="1">
      <alignment vertical="top"/>
      <protection locked="0" hidden="1"/>
    </xf>
    <xf numFmtId="0" fontId="45" fillId="0" borderId="0" xfId="0" applyFont="1" applyAlignment="1">
      <alignment horizontal="left" vertical="top" wrapText="1"/>
    </xf>
    <xf numFmtId="3" fontId="4" fillId="9" borderId="1" xfId="0" applyNumberFormat="1" applyFont="1" applyFill="1" applyBorder="1" applyAlignment="1" applyProtection="1">
      <alignment vertical="center"/>
      <protection locked="0" hidden="1"/>
    </xf>
    <xf numFmtId="3" fontId="5" fillId="3" borderId="1" xfId="0" applyNumberFormat="1" applyFont="1" applyFill="1" applyBorder="1" applyAlignment="1" applyProtection="1">
      <alignment vertical="center"/>
      <protection hidden="1"/>
    </xf>
    <xf numFmtId="3" fontId="6" fillId="4" borderId="1" xfId="0" applyNumberFormat="1" applyFont="1" applyFill="1" applyBorder="1" applyAlignment="1" applyProtection="1">
      <alignment vertical="center"/>
      <protection hidden="1"/>
    </xf>
    <xf numFmtId="3" fontId="38" fillId="0" borderId="1" xfId="0" applyNumberFormat="1" applyFont="1" applyBorder="1" applyAlignment="1" applyProtection="1">
      <alignment vertical="center"/>
      <protection hidden="1"/>
    </xf>
    <xf numFmtId="3" fontId="6" fillId="5" borderId="1" xfId="0" applyNumberFormat="1" applyFont="1" applyFill="1" applyBorder="1" applyAlignment="1" applyProtection="1">
      <alignment vertical="center"/>
      <protection hidden="1"/>
    </xf>
    <xf numFmtId="3" fontId="6" fillId="5" borderId="5" xfId="0" applyNumberFormat="1" applyFont="1" applyFill="1" applyBorder="1" applyAlignment="1" applyProtection="1">
      <alignment vertical="center"/>
      <protection hidden="1"/>
    </xf>
    <xf numFmtId="3" fontId="6" fillId="5" borderId="2" xfId="0" applyNumberFormat="1" applyFont="1" applyFill="1" applyBorder="1" applyAlignment="1" applyProtection="1">
      <alignment vertical="center"/>
      <protection hidden="1"/>
    </xf>
    <xf numFmtId="3" fontId="6" fillId="6" borderId="1" xfId="0" applyNumberFormat="1" applyFont="1" applyFill="1" applyBorder="1" applyAlignment="1" applyProtection="1">
      <alignment vertical="center"/>
      <protection hidden="1"/>
    </xf>
    <xf numFmtId="3" fontId="5" fillId="0" borderId="1" xfId="0" applyNumberFormat="1" applyFont="1" applyBorder="1" applyAlignment="1" applyProtection="1">
      <alignment vertical="center"/>
      <protection hidden="1"/>
    </xf>
    <xf numFmtId="3" fontId="4" fillId="0" borderId="3" xfId="0" applyNumberFormat="1" applyFont="1" applyBorder="1" applyAlignment="1" applyProtection="1">
      <alignment horizontal="center" vertical="center"/>
      <protection hidden="1"/>
    </xf>
    <xf numFmtId="3" fontId="4" fillId="0" borderId="14" xfId="0" applyNumberFormat="1" applyFont="1" applyBorder="1" applyAlignment="1" applyProtection="1">
      <alignment horizontal="center" vertical="center"/>
      <protection hidden="1"/>
    </xf>
    <xf numFmtId="3" fontId="4" fillId="0" borderId="14" xfId="0" applyNumberFormat="1" applyFont="1" applyBorder="1" applyAlignment="1" applyProtection="1">
      <alignment vertical="center"/>
      <protection hidden="1"/>
    </xf>
    <xf numFmtId="3" fontId="4" fillId="0" borderId="15" xfId="0" applyNumberFormat="1" applyFont="1" applyBorder="1" applyAlignment="1" applyProtection="1">
      <alignment horizontal="center" vertical="center"/>
      <protection hidden="1"/>
    </xf>
    <xf numFmtId="3" fontId="4" fillId="0" borderId="0" xfId="0" applyNumberFormat="1" applyFont="1" applyAlignment="1" applyProtection="1">
      <alignment horizontal="center" vertical="center"/>
      <protection hidden="1"/>
    </xf>
    <xf numFmtId="3" fontId="4" fillId="0" borderId="0" xfId="0" applyNumberFormat="1" applyFont="1" applyAlignment="1" applyProtection="1">
      <alignment vertical="center"/>
      <protection hidden="1"/>
    </xf>
    <xf numFmtId="3" fontId="38" fillId="13" borderId="8" xfId="0" applyNumberFormat="1" applyFont="1" applyFill="1" applyBorder="1" applyAlignment="1" applyProtection="1">
      <alignment horizontal="left" vertical="center"/>
      <protection hidden="1"/>
    </xf>
    <xf numFmtId="3" fontId="38" fillId="13" borderId="1" xfId="0" applyNumberFormat="1" applyFont="1" applyFill="1" applyBorder="1" applyAlignment="1" applyProtection="1">
      <alignment vertical="center"/>
      <protection hidden="1"/>
    </xf>
    <xf numFmtId="3" fontId="39" fillId="13" borderId="8" xfId="0" applyNumberFormat="1" applyFont="1" applyFill="1" applyBorder="1" applyAlignment="1" applyProtection="1">
      <alignment horizontal="left" vertical="center"/>
      <protection hidden="1"/>
    </xf>
    <xf numFmtId="3" fontId="39" fillId="13" borderId="1" xfId="0" applyNumberFormat="1" applyFont="1" applyFill="1" applyBorder="1" applyAlignment="1" applyProtection="1">
      <alignment vertical="center"/>
      <protection hidden="1"/>
    </xf>
    <xf numFmtId="3" fontId="39" fillId="14" borderId="1" xfId="0" applyNumberFormat="1" applyFont="1" applyFill="1" applyBorder="1" applyAlignment="1" applyProtection="1">
      <alignment vertical="center"/>
      <protection hidden="1"/>
    </xf>
    <xf numFmtId="3" fontId="39" fillId="7" borderId="1" xfId="0" applyNumberFormat="1" applyFont="1" applyFill="1" applyBorder="1" applyAlignment="1" applyProtection="1">
      <alignment vertical="center"/>
      <protection hidden="1"/>
    </xf>
    <xf numFmtId="3" fontId="3" fillId="4" borderId="6" xfId="0" applyNumberFormat="1" applyFont="1" applyFill="1" applyBorder="1" applyAlignment="1" applyProtection="1">
      <alignment horizontal="right" vertical="center"/>
      <protection hidden="1"/>
    </xf>
    <xf numFmtId="3" fontId="3" fillId="4" borderId="1" xfId="0" applyNumberFormat="1" applyFont="1" applyFill="1" applyBorder="1" applyAlignment="1" applyProtection="1">
      <alignment horizontal="right" vertical="center"/>
      <protection hidden="1"/>
    </xf>
    <xf numFmtId="3" fontId="6" fillId="13" borderId="1" xfId="0" applyNumberFormat="1" applyFont="1" applyFill="1" applyBorder="1" applyAlignment="1" applyProtection="1">
      <alignment vertical="center"/>
      <protection hidden="1"/>
    </xf>
    <xf numFmtId="3" fontId="3" fillId="14" borderId="1" xfId="0" applyNumberFormat="1" applyFont="1" applyFill="1" applyBorder="1" applyAlignment="1" applyProtection="1">
      <alignment vertical="center"/>
      <protection hidden="1"/>
    </xf>
    <xf numFmtId="3" fontId="41" fillId="16" borderId="1" xfId="0" applyNumberFormat="1" applyFont="1" applyFill="1" applyBorder="1" applyAlignment="1" applyProtection="1">
      <alignment vertical="center"/>
      <protection hidden="1"/>
    </xf>
    <xf numFmtId="3" fontId="16" fillId="9" borderId="1" xfId="0" applyNumberFormat="1" applyFont="1" applyFill="1" applyBorder="1" applyAlignment="1" applyProtection="1">
      <alignment horizontal="right" vertical="center"/>
      <protection locked="0" hidden="1"/>
    </xf>
    <xf numFmtId="3" fontId="2" fillId="0" borderId="0" xfId="0" applyNumberFormat="1" applyFont="1" applyAlignment="1" applyProtection="1">
      <alignment horizontal="right"/>
      <protection hidden="1"/>
    </xf>
    <xf numFmtId="3" fontId="14" fillId="14" borderId="1" xfId="0" applyNumberFormat="1" applyFont="1" applyFill="1" applyBorder="1" applyAlignment="1" applyProtection="1">
      <alignment vertical="center"/>
      <protection hidden="1"/>
    </xf>
    <xf numFmtId="0" fontId="1" fillId="0" borderId="0" xfId="3" applyFont="1" applyProtection="1">
      <protection hidden="1"/>
    </xf>
    <xf numFmtId="0" fontId="1" fillId="0" borderId="0" xfId="0" quotePrefix="1" applyFont="1" applyAlignment="1" applyProtection="1">
      <alignment horizontal="left"/>
      <protection hidden="1"/>
    </xf>
    <xf numFmtId="49" fontId="15" fillId="13" borderId="1" xfId="4" applyNumberFormat="1" applyFont="1" applyFill="1" applyBorder="1" applyAlignment="1" applyProtection="1">
      <alignment horizontal="left" vertical="center" wrapText="1"/>
      <protection hidden="1"/>
    </xf>
    <xf numFmtId="0" fontId="0" fillId="0" borderId="0" xfId="0" applyAlignment="1">
      <alignment wrapText="1"/>
    </xf>
    <xf numFmtId="0" fontId="0" fillId="17" borderId="1" xfId="0" applyFill="1" applyBorder="1" applyAlignment="1" applyProtection="1">
      <alignment horizontal="left" vertical="top" wrapText="1"/>
      <protection locked="0"/>
    </xf>
    <xf numFmtId="3" fontId="4" fillId="9" borderId="2" xfId="0" applyNumberFormat="1" applyFont="1" applyFill="1" applyBorder="1" applyAlignment="1" applyProtection="1">
      <alignment vertical="center"/>
      <protection locked="0" hidden="1"/>
    </xf>
    <xf numFmtId="0" fontId="26" fillId="4" borderId="6" xfId="4" applyFont="1" applyFill="1" applyBorder="1" applyProtection="1">
      <protection hidden="1"/>
    </xf>
    <xf numFmtId="0" fontId="1" fillId="0" borderId="0" xfId="4" applyFont="1" applyAlignment="1" applyProtection="1">
      <alignment horizontal="right"/>
      <protection hidden="1"/>
    </xf>
    <xf numFmtId="0" fontId="1" fillId="0" borderId="12" xfId="0" applyFont="1" applyBorder="1" applyAlignment="1" applyProtection="1">
      <alignment horizontal="center"/>
      <protection hidden="1"/>
    </xf>
    <xf numFmtId="0" fontId="0" fillId="0" borderId="12" xfId="0" applyBorder="1" applyAlignment="1" applyProtection="1">
      <alignment horizontal="center"/>
      <protection hidden="1"/>
    </xf>
    <xf numFmtId="0" fontId="1" fillId="17" borderId="1" xfId="0" applyFont="1" applyFill="1" applyBorder="1" applyAlignment="1" applyProtection="1">
      <alignment horizontal="left" vertical="top" wrapText="1"/>
      <protection locked="0"/>
    </xf>
    <xf numFmtId="0" fontId="0" fillId="0" borderId="1" xfId="0" applyBorder="1" applyAlignment="1" applyProtection="1">
      <alignment horizontal="right" vertical="top"/>
      <protection hidden="1"/>
    </xf>
    <xf numFmtId="164" fontId="46" fillId="6" borderId="31" xfId="0" applyNumberFormat="1" applyFont="1" applyFill="1" applyBorder="1" applyAlignment="1" applyProtection="1">
      <alignment vertical="center"/>
      <protection hidden="1"/>
    </xf>
    <xf numFmtId="3" fontId="1" fillId="0" borderId="0" xfId="0" applyNumberFormat="1" applyFont="1" applyAlignment="1" applyProtection="1">
      <alignment horizontal="right"/>
      <protection hidden="1"/>
    </xf>
    <xf numFmtId="0" fontId="47" fillId="0" borderId="0" xfId="0" applyFont="1" applyAlignment="1">
      <alignment horizontal="left" vertical="center" wrapText="1"/>
    </xf>
    <xf numFmtId="173" fontId="4" fillId="9" borderId="55" xfId="3" applyNumberFormat="1" applyFont="1" applyFill="1" applyBorder="1" applyAlignment="1" applyProtection="1">
      <alignment horizontal="right"/>
      <protection locked="0" hidden="1"/>
    </xf>
    <xf numFmtId="3" fontId="1" fillId="0" borderId="0" xfId="4" applyNumberFormat="1" applyFont="1" applyProtection="1">
      <protection hidden="1"/>
    </xf>
    <xf numFmtId="9" fontId="1" fillId="0" borderId="0" xfId="0" applyNumberFormat="1" applyFont="1" applyAlignment="1" applyProtection="1">
      <alignment horizontal="right"/>
      <protection hidden="1"/>
    </xf>
    <xf numFmtId="0" fontId="2" fillId="0" borderId="66" xfId="0" applyFont="1" applyBorder="1" applyAlignment="1" applyProtection="1">
      <alignment horizontal="right"/>
      <protection hidden="1"/>
    </xf>
    <xf numFmtId="0" fontId="2" fillId="0" borderId="67" xfId="0" applyFont="1" applyBorder="1" applyAlignment="1" applyProtection="1">
      <alignment horizontal="right"/>
      <protection hidden="1"/>
    </xf>
    <xf numFmtId="0" fontId="1" fillId="0" borderId="47" xfId="0" applyFont="1" applyBorder="1" applyAlignment="1" applyProtection="1">
      <alignment horizontal="right"/>
      <protection hidden="1"/>
    </xf>
    <xf numFmtId="0" fontId="1" fillId="0" borderId="48" xfId="0" applyFont="1" applyBorder="1" applyAlignment="1" applyProtection="1">
      <alignment horizontal="right"/>
      <protection hidden="1"/>
    </xf>
    <xf numFmtId="3" fontId="2" fillId="0" borderId="68" xfId="0" applyNumberFormat="1" applyFont="1" applyBorder="1" applyAlignment="1" applyProtection="1">
      <alignment horizontal="right"/>
      <protection hidden="1"/>
    </xf>
    <xf numFmtId="0" fontId="3" fillId="0" borderId="65" xfId="0" applyFont="1" applyBorder="1" applyAlignment="1" applyProtection="1">
      <alignment horizontal="left"/>
      <protection hidden="1"/>
    </xf>
    <xf numFmtId="3" fontId="1" fillId="0" borderId="47" xfId="0" applyNumberFormat="1" applyFont="1" applyBorder="1" applyAlignment="1" applyProtection="1">
      <alignment horizontal="right"/>
      <protection hidden="1"/>
    </xf>
    <xf numFmtId="3" fontId="1" fillId="0" borderId="43" xfId="0" applyNumberFormat="1" applyFont="1" applyBorder="1" applyAlignment="1" applyProtection="1">
      <alignment horizontal="right"/>
      <protection hidden="1"/>
    </xf>
    <xf numFmtId="9" fontId="2" fillId="0" borderId="0" xfId="0" applyNumberFormat="1" applyFont="1" applyAlignment="1" applyProtection="1">
      <alignment horizontal="right"/>
      <protection hidden="1"/>
    </xf>
    <xf numFmtId="9" fontId="2" fillId="0" borderId="68" xfId="0" applyNumberFormat="1" applyFont="1" applyBorder="1" applyAlignment="1" applyProtection="1">
      <alignment horizontal="right"/>
      <protection hidden="1"/>
    </xf>
    <xf numFmtId="3" fontId="2" fillId="0" borderId="47" xfId="0" applyNumberFormat="1" applyFont="1" applyBorder="1" applyAlignment="1" applyProtection="1">
      <alignment horizontal="right"/>
      <protection hidden="1"/>
    </xf>
    <xf numFmtId="3" fontId="2" fillId="0" borderId="43" xfId="0" applyNumberFormat="1" applyFont="1" applyBorder="1" applyAlignment="1" applyProtection="1">
      <alignment horizontal="right"/>
      <protection hidden="1"/>
    </xf>
    <xf numFmtId="3" fontId="2" fillId="0" borderId="66" xfId="0" applyNumberFormat="1" applyFont="1" applyBorder="1" applyAlignment="1" applyProtection="1">
      <alignment horizontal="right"/>
      <protection hidden="1"/>
    </xf>
    <xf numFmtId="9" fontId="2" fillId="0" borderId="48" xfId="0" applyNumberFormat="1" applyFont="1" applyBorder="1" applyAlignment="1" applyProtection="1">
      <alignment horizontal="right"/>
      <protection hidden="1"/>
    </xf>
    <xf numFmtId="9" fontId="2" fillId="0" borderId="44" xfId="0" applyNumberFormat="1" applyFont="1" applyBorder="1" applyAlignment="1" applyProtection="1">
      <alignment horizontal="right"/>
      <protection hidden="1"/>
    </xf>
    <xf numFmtId="3" fontId="20" fillId="0" borderId="0" xfId="0" applyNumberFormat="1" applyFont="1" applyAlignment="1" applyProtection="1">
      <alignment horizontal="right"/>
      <protection hidden="1"/>
    </xf>
    <xf numFmtId="3" fontId="3" fillId="0" borderId="69" xfId="0" applyNumberFormat="1" applyFont="1" applyBorder="1" applyAlignment="1" applyProtection="1">
      <alignment horizontal="right"/>
      <protection hidden="1"/>
    </xf>
    <xf numFmtId="3" fontId="1" fillId="0" borderId="68" xfId="0" applyNumberFormat="1" applyFont="1" applyBorder="1" applyAlignment="1" applyProtection="1">
      <alignment horizontal="right"/>
      <protection hidden="1"/>
    </xf>
    <xf numFmtId="0" fontId="48" fillId="0" borderId="0" xfId="0" applyFont="1" applyAlignment="1" applyProtection="1">
      <alignment horizontal="right"/>
      <protection hidden="1"/>
    </xf>
    <xf numFmtId="3" fontId="1" fillId="0" borderId="69" xfId="4" applyNumberFormat="1" applyFont="1" applyBorder="1" applyProtection="1">
      <protection hidden="1"/>
    </xf>
    <xf numFmtId="0" fontId="49" fillId="0" borderId="0" xfId="0" applyFont="1" applyAlignment="1">
      <alignment horizontal="left" vertical="center" wrapText="1"/>
    </xf>
    <xf numFmtId="0" fontId="8" fillId="0" borderId="0" xfId="0" applyFont="1" applyAlignment="1" applyProtection="1">
      <alignment horizontal="center" vertical="top"/>
      <protection hidden="1"/>
    </xf>
    <xf numFmtId="0" fontId="50" fillId="0" borderId="0" xfId="0" applyFont="1" applyAlignment="1">
      <alignment horizontal="left" vertical="center" wrapText="1"/>
    </xf>
    <xf numFmtId="164" fontId="3" fillId="0" borderId="0" xfId="0" applyNumberFormat="1" applyFont="1" applyAlignment="1" applyProtection="1">
      <alignment horizontal="right" vertical="center"/>
      <protection hidden="1"/>
    </xf>
    <xf numFmtId="3" fontId="5" fillId="0" borderId="0" xfId="0" applyNumberFormat="1" applyFont="1" applyAlignment="1" applyProtection="1">
      <alignment vertical="center"/>
      <protection hidden="1"/>
    </xf>
    <xf numFmtId="0" fontId="51" fillId="0" borderId="0" xfId="0" applyFont="1" applyAlignment="1" applyProtection="1">
      <alignment horizontal="left"/>
      <protection hidden="1"/>
    </xf>
    <xf numFmtId="49" fontId="15" fillId="13" borderId="55" xfId="4" applyNumberFormat="1" applyFont="1" applyFill="1" applyBorder="1" applyAlignment="1" applyProtection="1">
      <alignment vertical="center"/>
      <protection hidden="1"/>
    </xf>
    <xf numFmtId="4" fontId="38" fillId="13" borderId="55" xfId="3" applyNumberFormat="1" applyFont="1" applyFill="1" applyBorder="1" applyProtection="1">
      <protection hidden="1"/>
    </xf>
    <xf numFmtId="164" fontId="39" fillId="13" borderId="55" xfId="0" applyNumberFormat="1" applyFont="1" applyFill="1" applyBorder="1" applyAlignment="1" applyProtection="1">
      <alignment vertical="center"/>
      <protection hidden="1"/>
    </xf>
    <xf numFmtId="3" fontId="39" fillId="13" borderId="55" xfId="0" applyNumberFormat="1" applyFont="1" applyFill="1" applyBorder="1" applyAlignment="1" applyProtection="1">
      <alignment vertical="center"/>
      <protection hidden="1"/>
    </xf>
    <xf numFmtId="0" fontId="53" fillId="0" borderId="0" xfId="0" applyFont="1" applyAlignment="1">
      <alignment horizontal="left" vertical="center" wrapText="1"/>
    </xf>
    <xf numFmtId="0" fontId="2" fillId="0" borderId="48" xfId="0" applyFont="1" applyBorder="1" applyAlignment="1" applyProtection="1">
      <alignment horizontal="right"/>
      <protection hidden="1"/>
    </xf>
    <xf numFmtId="0" fontId="2" fillId="0" borderId="44" xfId="0" applyFont="1" applyBorder="1" applyAlignment="1" applyProtection="1">
      <alignment horizontal="right"/>
      <protection hidden="1"/>
    </xf>
    <xf numFmtId="0" fontId="54" fillId="0" borderId="0" xfId="0" applyFont="1" applyAlignment="1">
      <alignment horizontal="left" vertical="center" wrapText="1"/>
    </xf>
    <xf numFmtId="0" fontId="55" fillId="0" borderId="0" xfId="0" applyFont="1" applyAlignment="1">
      <alignment horizontal="left" vertical="center" wrapText="1"/>
    </xf>
    <xf numFmtId="9" fontId="1" fillId="0" borderId="0" xfId="5" applyFont="1"/>
    <xf numFmtId="0" fontId="29" fillId="8" borderId="45" xfId="0" applyFont="1" applyFill="1" applyBorder="1" applyAlignment="1" applyProtection="1">
      <alignment horizontal="center"/>
      <protection hidden="1"/>
    </xf>
    <xf numFmtId="0" fontId="29" fillId="8" borderId="46" xfId="0" applyFont="1" applyFill="1" applyBorder="1" applyAlignment="1" applyProtection="1">
      <alignment horizontal="center"/>
      <protection hidden="1"/>
    </xf>
    <xf numFmtId="0" fontId="31" fillId="4" borderId="47" xfId="0" applyFont="1" applyFill="1" applyBorder="1" applyAlignment="1" applyProtection="1">
      <alignment horizontal="center"/>
      <protection hidden="1"/>
    </xf>
    <xf numFmtId="0" fontId="31" fillId="4" borderId="48" xfId="0" applyFont="1" applyFill="1" applyBorder="1" applyAlignment="1" applyProtection="1">
      <alignment horizontal="center"/>
      <protection hidden="1"/>
    </xf>
    <xf numFmtId="0" fontId="32" fillId="4" borderId="47" xfId="0" applyFont="1" applyFill="1" applyBorder="1" applyAlignment="1" applyProtection="1">
      <alignment horizontal="center"/>
      <protection hidden="1"/>
    </xf>
    <xf numFmtId="0" fontId="32" fillId="4" borderId="48" xfId="0" applyFont="1" applyFill="1" applyBorder="1" applyAlignment="1" applyProtection="1">
      <alignment horizontal="center"/>
      <protection hidden="1"/>
    </xf>
    <xf numFmtId="0" fontId="33" fillId="4" borderId="47" xfId="0" applyFont="1" applyFill="1" applyBorder="1" applyAlignment="1" applyProtection="1">
      <alignment horizontal="center"/>
      <protection hidden="1"/>
    </xf>
    <xf numFmtId="0" fontId="33" fillId="4" borderId="48" xfId="0" applyFont="1" applyFill="1" applyBorder="1" applyAlignment="1" applyProtection="1">
      <alignment horizontal="center"/>
      <protection hidden="1"/>
    </xf>
    <xf numFmtId="0" fontId="34" fillId="11" borderId="41" xfId="0" applyFont="1" applyFill="1" applyBorder="1" applyAlignment="1" applyProtection="1">
      <alignment horizontal="center" vertical="top" wrapText="1"/>
      <protection hidden="1"/>
    </xf>
    <xf numFmtId="0" fontId="34" fillId="11" borderId="42" xfId="0" applyFont="1" applyFill="1" applyBorder="1" applyAlignment="1" applyProtection="1">
      <alignment horizontal="center" vertical="top" wrapText="1"/>
      <protection hidden="1"/>
    </xf>
    <xf numFmtId="0" fontId="10" fillId="0" borderId="0" xfId="2" applyAlignment="1" applyProtection="1">
      <alignment horizontal="center" vertical="top" wrapText="1"/>
      <protection hidden="1"/>
    </xf>
    <xf numFmtId="0" fontId="33" fillId="4" borderId="43" xfId="0" applyFont="1" applyFill="1" applyBorder="1" applyAlignment="1" applyProtection="1">
      <alignment horizontal="center"/>
      <protection hidden="1"/>
    </xf>
    <xf numFmtId="0" fontId="33" fillId="4" borderId="44" xfId="0" applyFont="1" applyFill="1" applyBorder="1" applyAlignment="1" applyProtection="1">
      <alignment horizontal="center"/>
      <protection hidden="1"/>
    </xf>
    <xf numFmtId="0" fontId="34" fillId="11" borderId="41" xfId="0" applyFont="1" applyFill="1" applyBorder="1" applyAlignment="1" applyProtection="1">
      <alignment horizontal="center" vertical="top"/>
      <protection hidden="1"/>
    </xf>
    <xf numFmtId="0" fontId="34" fillId="11" borderId="42" xfId="0" applyFont="1" applyFill="1" applyBorder="1" applyAlignment="1" applyProtection="1">
      <alignment horizontal="center" vertical="top"/>
      <protection hidden="1"/>
    </xf>
    <xf numFmtId="0" fontId="18" fillId="12" borderId="41" xfId="0" applyFont="1" applyFill="1" applyBorder="1" applyAlignment="1" applyProtection="1">
      <alignment horizontal="center" vertical="center" wrapText="1"/>
      <protection hidden="1"/>
    </xf>
    <xf numFmtId="0" fontId="18" fillId="12" borderId="42" xfId="0" applyFont="1" applyFill="1" applyBorder="1" applyAlignment="1" applyProtection="1">
      <alignment horizontal="center" vertical="center" wrapText="1"/>
      <protection hidden="1"/>
    </xf>
    <xf numFmtId="3" fontId="4" fillId="0" borderId="6" xfId="0" applyNumberFormat="1" applyFont="1" applyBorder="1" applyAlignment="1" applyProtection="1">
      <alignment horizontal="center" vertical="center"/>
      <protection hidden="1"/>
    </xf>
    <xf numFmtId="3" fontId="4" fillId="0" borderId="7" xfId="0" applyNumberFormat="1" applyFont="1" applyBorder="1" applyAlignment="1" applyProtection="1">
      <alignment horizontal="center" vertical="center"/>
      <protection hidden="1"/>
    </xf>
    <xf numFmtId="3" fontId="4" fillId="0" borderId="8" xfId="0" applyNumberFormat="1" applyFont="1" applyBorder="1" applyAlignment="1" applyProtection="1">
      <alignment horizontal="center" vertical="center"/>
      <protection hidden="1"/>
    </xf>
    <xf numFmtId="0" fontId="8" fillId="0" borderId="0" xfId="0" applyFont="1" applyAlignment="1" applyProtection="1">
      <alignment horizontal="center" vertical="top"/>
      <protection hidden="1"/>
    </xf>
    <xf numFmtId="164" fontId="3" fillId="2" borderId="5" xfId="0" applyNumberFormat="1" applyFont="1" applyFill="1" applyBorder="1" applyAlignment="1" applyProtection="1">
      <alignment horizontal="center" vertical="center" textRotation="90"/>
      <protection hidden="1"/>
    </xf>
    <xf numFmtId="164" fontId="3" fillId="2" borderId="49" xfId="0" applyNumberFormat="1" applyFont="1" applyFill="1" applyBorder="1" applyAlignment="1" applyProtection="1">
      <alignment horizontal="center" vertical="center" textRotation="90"/>
      <protection hidden="1"/>
    </xf>
    <xf numFmtId="164" fontId="3" fillId="2" borderId="2" xfId="0" applyNumberFormat="1" applyFont="1" applyFill="1" applyBorder="1" applyAlignment="1" applyProtection="1">
      <alignment horizontal="center" vertical="center" textRotation="90"/>
      <protection hidden="1"/>
    </xf>
    <xf numFmtId="0" fontId="3" fillId="13" borderId="1" xfId="0" applyFont="1" applyFill="1" applyBorder="1" applyAlignment="1" applyProtection="1">
      <alignment horizontal="right" vertical="center" textRotation="90"/>
      <protection hidden="1"/>
    </xf>
    <xf numFmtId="164" fontId="3" fillId="4" borderId="6" xfId="0" applyNumberFormat="1" applyFont="1" applyFill="1" applyBorder="1" applyAlignment="1" applyProtection="1">
      <alignment horizontal="left" vertical="center"/>
      <protection hidden="1"/>
    </xf>
    <xf numFmtId="164" fontId="3" fillId="4" borderId="7" xfId="0" applyNumberFormat="1" applyFont="1" applyFill="1" applyBorder="1" applyAlignment="1" applyProtection="1">
      <alignment horizontal="left" vertical="center"/>
      <protection hidden="1"/>
    </xf>
    <xf numFmtId="164" fontId="3" fillId="4" borderId="8" xfId="0" applyNumberFormat="1" applyFont="1" applyFill="1" applyBorder="1" applyAlignment="1" applyProtection="1">
      <alignment horizontal="left" vertical="center"/>
      <protection hidden="1"/>
    </xf>
    <xf numFmtId="164" fontId="17" fillId="10" borderId="70" xfId="0" applyNumberFormat="1" applyFont="1" applyFill="1" applyBorder="1" applyAlignment="1" applyProtection="1">
      <alignment horizontal="left" vertical="center"/>
      <protection hidden="1"/>
    </xf>
    <xf numFmtId="164" fontId="17" fillId="10" borderId="31" xfId="0" applyNumberFormat="1" applyFont="1" applyFill="1" applyBorder="1" applyAlignment="1" applyProtection="1">
      <alignment horizontal="left" vertical="center"/>
      <protection hidden="1"/>
    </xf>
    <xf numFmtId="164" fontId="17" fillId="10" borderId="71" xfId="0" applyNumberFormat="1" applyFont="1" applyFill="1" applyBorder="1" applyAlignment="1" applyProtection="1">
      <alignment horizontal="left" vertical="center"/>
      <protection hidden="1"/>
    </xf>
    <xf numFmtId="164" fontId="17" fillId="10" borderId="50" xfId="0" applyNumberFormat="1" applyFont="1" applyFill="1" applyBorder="1" applyAlignment="1" applyProtection="1">
      <alignment horizontal="left" vertical="center"/>
      <protection hidden="1"/>
    </xf>
    <xf numFmtId="164" fontId="17" fillId="10" borderId="27" xfId="0" applyNumberFormat="1" applyFont="1" applyFill="1" applyBorder="1" applyAlignment="1" applyProtection="1">
      <alignment horizontal="left" vertical="center"/>
      <protection hidden="1"/>
    </xf>
    <xf numFmtId="164" fontId="17" fillId="10" borderId="51" xfId="0" applyNumberFormat="1" applyFont="1" applyFill="1" applyBorder="1" applyAlignment="1" applyProtection="1">
      <alignment horizontal="left" vertical="center"/>
      <protection hidden="1"/>
    </xf>
    <xf numFmtId="3" fontId="17" fillId="10" borderId="70" xfId="0" applyNumberFormat="1" applyFont="1" applyFill="1" applyBorder="1" applyAlignment="1" applyProtection="1">
      <alignment horizontal="right" vertical="center"/>
      <protection hidden="1"/>
    </xf>
    <xf numFmtId="3" fontId="17" fillId="10" borderId="71" xfId="0" applyNumberFormat="1" applyFont="1" applyFill="1" applyBorder="1" applyAlignment="1" applyProtection="1">
      <alignment horizontal="right" vertical="center"/>
      <protection hidden="1"/>
    </xf>
    <xf numFmtId="3" fontId="17" fillId="10" borderId="50" xfId="0" applyNumberFormat="1" applyFont="1" applyFill="1" applyBorder="1" applyAlignment="1" applyProtection="1">
      <alignment horizontal="right" vertical="center"/>
      <protection hidden="1"/>
    </xf>
    <xf numFmtId="3" fontId="17" fillId="10" borderId="51" xfId="0" applyNumberFormat="1" applyFont="1" applyFill="1" applyBorder="1" applyAlignment="1" applyProtection="1">
      <alignment horizontal="right" vertical="center"/>
      <protection hidden="1"/>
    </xf>
    <xf numFmtId="0" fontId="46" fillId="0" borderId="50" xfId="3" applyFont="1" applyBorder="1" applyAlignment="1" applyProtection="1">
      <alignment horizontal="right"/>
      <protection hidden="1"/>
    </xf>
    <xf numFmtId="0" fontId="46" fillId="0" borderId="27" xfId="4" applyFont="1" applyBorder="1" applyProtection="1">
      <protection hidden="1"/>
    </xf>
    <xf numFmtId="0" fontId="46" fillId="0" borderId="28" xfId="4" applyFont="1" applyBorder="1" applyProtection="1">
      <protection hidden="1"/>
    </xf>
    <xf numFmtId="164" fontId="8" fillId="6" borderId="52" xfId="4" applyNumberFormat="1" applyFont="1" applyFill="1" applyBorder="1" applyAlignment="1" applyProtection="1">
      <alignment horizontal="center" vertical="top"/>
      <protection hidden="1"/>
    </xf>
    <xf numFmtId="164" fontId="17" fillId="10" borderId="24" xfId="4" applyNumberFormat="1" applyFont="1" applyFill="1" applyBorder="1" applyAlignment="1" applyProtection="1">
      <alignment vertical="center"/>
      <protection hidden="1"/>
    </xf>
    <xf numFmtId="0" fontId="23" fillId="0" borderId="24" xfId="4" applyFont="1" applyBorder="1" applyAlignment="1" applyProtection="1">
      <alignment vertical="center"/>
      <protection hidden="1"/>
    </xf>
    <xf numFmtId="0" fontId="21" fillId="4" borderId="18" xfId="3" applyFont="1" applyFill="1" applyBorder="1" applyAlignment="1" applyProtection="1">
      <alignment horizontal="center" vertical="center"/>
      <protection hidden="1"/>
    </xf>
    <xf numFmtId="0" fontId="15" fillId="0" borderId="75" xfId="3" applyFont="1" applyBorder="1" applyAlignment="1" applyProtection="1">
      <alignment horizontal="center"/>
      <protection hidden="1"/>
    </xf>
    <xf numFmtId="0" fontId="15" fillId="0" borderId="76" xfId="3" applyFont="1" applyBorder="1" applyAlignment="1" applyProtection="1">
      <alignment horizontal="center"/>
      <protection hidden="1"/>
    </xf>
    <xf numFmtId="0" fontId="15" fillId="0" borderId="74" xfId="3" applyFont="1" applyBorder="1" applyAlignment="1" applyProtection="1">
      <alignment horizontal="center"/>
      <protection hidden="1"/>
    </xf>
    <xf numFmtId="0" fontId="15" fillId="0" borderId="73" xfId="3" applyFont="1" applyBorder="1" applyAlignment="1" applyProtection="1">
      <alignment horizontal="center"/>
      <protection hidden="1"/>
    </xf>
    <xf numFmtId="0" fontId="15" fillId="0" borderId="19" xfId="3" applyFont="1" applyBorder="1" applyAlignment="1" applyProtection="1">
      <alignment horizontal="center"/>
      <protection hidden="1"/>
    </xf>
    <xf numFmtId="0" fontId="15" fillId="0" borderId="72" xfId="3" applyFont="1" applyBorder="1" applyAlignment="1" applyProtection="1">
      <alignment horizontal="center"/>
      <protection hidden="1"/>
    </xf>
    <xf numFmtId="0" fontId="52" fillId="18" borderId="77" xfId="3" applyFont="1" applyFill="1" applyBorder="1" applyAlignment="1" applyProtection="1">
      <alignment horizontal="center" vertical="center"/>
      <protection hidden="1"/>
    </xf>
    <xf numFmtId="0" fontId="52" fillId="18" borderId="78" xfId="3" applyFont="1" applyFill="1" applyBorder="1" applyAlignment="1" applyProtection="1">
      <alignment horizontal="center" vertical="center"/>
      <protection hidden="1"/>
    </xf>
    <xf numFmtId="0" fontId="52" fillId="18" borderId="79" xfId="3" applyFont="1" applyFill="1" applyBorder="1" applyAlignment="1" applyProtection="1">
      <alignment horizontal="center" vertical="center"/>
      <protection hidden="1"/>
    </xf>
    <xf numFmtId="0" fontId="52" fillId="18" borderId="80" xfId="3" applyFont="1" applyFill="1" applyBorder="1" applyAlignment="1" applyProtection="1">
      <alignment horizontal="center" vertical="center"/>
      <protection hidden="1"/>
    </xf>
    <xf numFmtId="0" fontId="52" fillId="18" borderId="81" xfId="3" applyFont="1" applyFill="1" applyBorder="1" applyAlignment="1" applyProtection="1">
      <alignment horizontal="center" vertical="center"/>
      <protection hidden="1"/>
    </xf>
    <xf numFmtId="0" fontId="52" fillId="18" borderId="82" xfId="3" applyFont="1" applyFill="1" applyBorder="1" applyAlignment="1" applyProtection="1">
      <alignment horizontal="center" vertical="center"/>
      <protection hidden="1"/>
    </xf>
    <xf numFmtId="0" fontId="26" fillId="4" borderId="6" xfId="4" applyFont="1" applyFill="1" applyBorder="1" applyAlignment="1" applyProtection="1">
      <alignment horizontal="center" vertical="center" wrapText="1"/>
      <protection hidden="1"/>
    </xf>
    <xf numFmtId="0" fontId="26" fillId="4" borderId="7" xfId="4" applyFont="1" applyFill="1" applyBorder="1" applyAlignment="1" applyProtection="1">
      <alignment horizontal="center" vertical="center" wrapText="1"/>
      <protection hidden="1"/>
    </xf>
    <xf numFmtId="0" fontId="26" fillId="4" borderId="8" xfId="4" applyFont="1" applyFill="1" applyBorder="1" applyAlignment="1" applyProtection="1">
      <alignment horizontal="center" vertical="center" wrapText="1"/>
      <protection hidden="1"/>
    </xf>
    <xf numFmtId="164" fontId="8" fillId="6" borderId="12" xfId="4" applyNumberFormat="1" applyFont="1" applyFill="1" applyBorder="1" applyAlignment="1" applyProtection="1">
      <alignment horizontal="center" vertical="top"/>
      <protection hidden="1"/>
    </xf>
    <xf numFmtId="0" fontId="46" fillId="0" borderId="27" xfId="3" applyFont="1" applyBorder="1" applyAlignment="1" applyProtection="1">
      <alignment horizontal="right"/>
      <protection hidden="1"/>
    </xf>
    <xf numFmtId="164" fontId="17" fillId="10" borderId="25" xfId="4" applyNumberFormat="1" applyFont="1" applyFill="1" applyBorder="1" applyAlignment="1" applyProtection="1">
      <alignment horizontal="left" vertical="center"/>
      <protection hidden="1"/>
    </xf>
    <xf numFmtId="164" fontId="17" fillId="10" borderId="53" xfId="4" applyNumberFormat="1" applyFont="1" applyFill="1" applyBorder="1" applyAlignment="1" applyProtection="1">
      <alignment horizontal="left" vertical="center"/>
      <protection hidden="1"/>
    </xf>
    <xf numFmtId="164" fontId="17" fillId="10" borderId="54" xfId="4" applyNumberFormat="1" applyFont="1" applyFill="1" applyBorder="1" applyAlignment="1" applyProtection="1">
      <alignment horizontal="left" vertical="center"/>
      <protection hidden="1"/>
    </xf>
    <xf numFmtId="0" fontId="36" fillId="18" borderId="77" xfId="4" applyFont="1" applyFill="1" applyBorder="1" applyAlignment="1" applyProtection="1">
      <alignment horizontal="center"/>
      <protection hidden="1"/>
    </xf>
    <xf numFmtId="0" fontId="36" fillId="18" borderId="78" xfId="4" applyFont="1" applyFill="1" applyBorder="1" applyAlignment="1" applyProtection="1">
      <alignment horizontal="center"/>
      <protection hidden="1"/>
    </xf>
    <xf numFmtId="0" fontId="36" fillId="18" borderId="79" xfId="4" applyFont="1" applyFill="1" applyBorder="1" applyAlignment="1" applyProtection="1">
      <alignment horizontal="center"/>
      <protection hidden="1"/>
    </xf>
    <xf numFmtId="0" fontId="36" fillId="18" borderId="80" xfId="4" applyFont="1" applyFill="1" applyBorder="1" applyAlignment="1" applyProtection="1">
      <alignment horizontal="center"/>
      <protection hidden="1"/>
    </xf>
    <xf numFmtId="0" fontId="36" fillId="18" borderId="81" xfId="4" applyFont="1" applyFill="1" applyBorder="1" applyAlignment="1" applyProtection="1">
      <alignment horizontal="center"/>
      <protection hidden="1"/>
    </xf>
    <xf numFmtId="0" fontId="36" fillId="18" borderId="82" xfId="4" applyFont="1" applyFill="1" applyBorder="1" applyAlignment="1" applyProtection="1">
      <alignment horizontal="center"/>
      <protection hidden="1"/>
    </xf>
    <xf numFmtId="0" fontId="1" fillId="0" borderId="0" xfId="3" applyFont="1" applyAlignment="1" applyProtection="1">
      <alignment horizontal="left" wrapText="1" indent="2"/>
      <protection hidden="1"/>
    </xf>
    <xf numFmtId="0" fontId="2" fillId="0" borderId="0" xfId="3" applyFont="1" applyAlignment="1" applyProtection="1">
      <alignment horizontal="left" wrapText="1" indent="2"/>
      <protection hidden="1"/>
    </xf>
    <xf numFmtId="0" fontId="46" fillId="0" borderId="56" xfId="3" applyFont="1" applyBorder="1" applyAlignment="1" applyProtection="1">
      <alignment horizontal="right"/>
      <protection hidden="1"/>
    </xf>
    <xf numFmtId="0" fontId="46" fillId="0" borderId="57" xfId="3" applyFont="1" applyBorder="1" applyAlignment="1" applyProtection="1">
      <alignment horizontal="right"/>
      <protection hidden="1"/>
    </xf>
    <xf numFmtId="0" fontId="1" fillId="0" borderId="0" xfId="3" applyFont="1" applyAlignment="1" applyProtection="1">
      <alignment horizontal="left" indent="2"/>
      <protection hidden="1"/>
    </xf>
    <xf numFmtId="0" fontId="2" fillId="0" borderId="0" xfId="3" applyFont="1" applyAlignment="1" applyProtection="1">
      <alignment horizontal="left" indent="2"/>
      <protection hidden="1"/>
    </xf>
    <xf numFmtId="164" fontId="8" fillId="6" borderId="0" xfId="4" applyNumberFormat="1" applyFont="1" applyFill="1" applyAlignment="1" applyProtection="1">
      <alignment horizontal="center" vertical="top"/>
      <protection hidden="1"/>
    </xf>
    <xf numFmtId="0" fontId="26" fillId="4" borderId="55" xfId="4" applyFont="1" applyFill="1" applyBorder="1" applyAlignment="1" applyProtection="1">
      <alignment horizontal="center" vertical="center" wrapText="1"/>
      <protection hidden="1"/>
    </xf>
    <xf numFmtId="164" fontId="39" fillId="13" borderId="55" xfId="0" applyNumberFormat="1" applyFont="1" applyFill="1" applyBorder="1" applyAlignment="1" applyProtection="1">
      <alignment horizontal="left" vertical="center"/>
      <protection hidden="1"/>
    </xf>
    <xf numFmtId="3" fontId="39" fillId="13" borderId="58" xfId="3" applyNumberFormat="1" applyFont="1" applyFill="1" applyBorder="1" applyAlignment="1" applyProtection="1">
      <alignment horizontal="right"/>
      <protection hidden="1"/>
    </xf>
    <xf numFmtId="3" fontId="39" fillId="13" borderId="59" xfId="3" applyNumberFormat="1" applyFont="1" applyFill="1" applyBorder="1" applyAlignment="1" applyProtection="1">
      <alignment horizontal="right"/>
      <protection hidden="1"/>
    </xf>
    <xf numFmtId="0" fontId="1" fillId="0" borderId="0" xfId="4" applyFont="1" applyAlignment="1" applyProtection="1">
      <alignment horizontal="center"/>
      <protection hidden="1"/>
    </xf>
    <xf numFmtId="0" fontId="2" fillId="0" borderId="0" xfId="4" applyFont="1" applyAlignment="1" applyProtection="1">
      <alignment horizontal="center"/>
      <protection hidden="1"/>
    </xf>
    <xf numFmtId="49" fontId="15" fillId="13" borderId="55" xfId="4" applyNumberFormat="1" applyFont="1" applyFill="1" applyBorder="1" applyAlignment="1" applyProtection="1">
      <alignment horizontal="center" vertical="center" wrapText="1"/>
      <protection hidden="1"/>
    </xf>
    <xf numFmtId="49" fontId="15" fillId="13" borderId="55" xfId="4" applyNumberFormat="1" applyFont="1" applyFill="1" applyBorder="1" applyAlignment="1" applyProtection="1">
      <alignment horizontal="center" vertical="center"/>
      <protection hidden="1"/>
    </xf>
    <xf numFmtId="49" fontId="15" fillId="13" borderId="55" xfId="4" applyNumberFormat="1" applyFont="1" applyFill="1" applyBorder="1" applyAlignment="1" applyProtection="1">
      <alignment horizontal="right" vertical="center"/>
      <protection hidden="1"/>
    </xf>
    <xf numFmtId="49" fontId="15" fillId="13" borderId="55" xfId="4" applyNumberFormat="1" applyFont="1" applyFill="1" applyBorder="1" applyAlignment="1" applyProtection="1">
      <alignment horizontal="left" vertical="center"/>
      <protection hidden="1"/>
    </xf>
    <xf numFmtId="164" fontId="39" fillId="13" borderId="58" xfId="0" applyNumberFormat="1" applyFont="1" applyFill="1" applyBorder="1" applyAlignment="1" applyProtection="1">
      <alignment horizontal="left" vertical="center"/>
      <protection hidden="1"/>
    </xf>
    <xf numFmtId="164" fontId="39" fillId="13" borderId="62" xfId="0" applyNumberFormat="1" applyFont="1" applyFill="1" applyBorder="1" applyAlignment="1" applyProtection="1">
      <alignment horizontal="left" vertical="center"/>
      <protection hidden="1"/>
    </xf>
    <xf numFmtId="164" fontId="39" fillId="13" borderId="59" xfId="0" applyNumberFormat="1" applyFont="1" applyFill="1" applyBorder="1" applyAlignment="1" applyProtection="1">
      <alignment horizontal="left" vertical="center"/>
      <protection hidden="1"/>
    </xf>
    <xf numFmtId="0" fontId="28" fillId="0" borderId="56" xfId="3" applyFont="1" applyBorder="1" applyAlignment="1" applyProtection="1">
      <alignment horizontal="right"/>
      <protection hidden="1"/>
    </xf>
    <xf numFmtId="0" fontId="28" fillId="0" borderId="57" xfId="3" applyFont="1" applyBorder="1" applyAlignment="1" applyProtection="1">
      <alignment horizontal="right"/>
      <protection hidden="1"/>
    </xf>
    <xf numFmtId="49" fontId="4" fillId="9" borderId="58" xfId="3" applyNumberFormat="1" applyFont="1" applyFill="1" applyBorder="1" applyAlignment="1" applyProtection="1">
      <alignment horizontal="left"/>
      <protection locked="0" hidden="1"/>
    </xf>
    <xf numFmtId="0" fontId="0" fillId="0" borderId="59" xfId="0" applyBorder="1" applyAlignment="1">
      <alignment horizontal="left"/>
    </xf>
    <xf numFmtId="49" fontId="15" fillId="13" borderId="58" xfId="4" applyNumberFormat="1" applyFont="1" applyFill="1" applyBorder="1" applyAlignment="1" applyProtection="1">
      <alignment horizontal="left" vertical="center"/>
      <protection hidden="1"/>
    </xf>
    <xf numFmtId="164" fontId="46" fillId="6" borderId="14" xfId="0" applyNumberFormat="1" applyFont="1" applyFill="1" applyBorder="1" applyAlignment="1" applyProtection="1">
      <alignment horizontal="right" vertical="center"/>
      <protection hidden="1"/>
    </xf>
    <xf numFmtId="164" fontId="8" fillId="6" borderId="63" xfId="4" applyNumberFormat="1" applyFont="1" applyFill="1" applyBorder="1" applyAlignment="1" applyProtection="1">
      <alignment horizontal="center" vertical="top"/>
      <protection hidden="1"/>
    </xf>
    <xf numFmtId="0" fontId="26" fillId="4" borderId="58" xfId="4" applyFont="1" applyFill="1" applyBorder="1" applyAlignment="1" applyProtection="1">
      <alignment horizontal="center" vertical="center" wrapText="1"/>
      <protection hidden="1"/>
    </xf>
    <xf numFmtId="0" fontId="26" fillId="4" borderId="59" xfId="4" applyFont="1" applyFill="1" applyBorder="1" applyAlignment="1" applyProtection="1">
      <alignment horizontal="center" vertical="center" wrapText="1"/>
      <protection hidden="1"/>
    </xf>
    <xf numFmtId="0" fontId="1" fillId="0" borderId="64" xfId="0" applyFont="1" applyBorder="1" applyAlignment="1" applyProtection="1">
      <alignment horizontal="center"/>
      <protection hidden="1"/>
    </xf>
    <xf numFmtId="0" fontId="0" fillId="0" borderId="64" xfId="0" applyBorder="1" applyAlignment="1" applyProtection="1">
      <alignment horizontal="center"/>
      <protection hidden="1"/>
    </xf>
  </cellXfs>
  <cellStyles count="6">
    <cellStyle name="Comma" xfId="1" builtinId="3"/>
    <cellStyle name="Hyperlink" xfId="2" builtinId="8"/>
    <cellStyle name="Normal" xfId="0" builtinId="0"/>
    <cellStyle name="Normal_PerksTax" xfId="3" xr:uid="{00000000-0005-0000-0000-000003000000}"/>
    <cellStyle name="Normal_TaxCalc_2006" xfId="4" xr:uid="{00000000-0005-0000-0000-000004000000}"/>
    <cellStyle name="Percent" xfId="5" builtinId="5"/>
  </cellStyles>
  <dxfs count="16">
    <dxf>
      <font>
        <b val="0"/>
        <i val="0"/>
        <strike val="0"/>
        <condense val="0"/>
        <extend val="0"/>
        <outline val="0"/>
        <shadow val="0"/>
        <u val="none"/>
        <vertAlign val="baseline"/>
        <sz val="8"/>
        <color rgb="FF333333"/>
        <name val="Franklin Gothic Book"/>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rgb="FF333333"/>
        <name val="Franklin Gothic Book"/>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rgb="FF333333"/>
        <name val="Franklin Gothic Book"/>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rgb="FF333333"/>
        <name val="Franklin Gothic Book"/>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8"/>
        <color theme="0"/>
        <name val="Franklin Gothic Book"/>
        <scheme val="none"/>
      </font>
      <fill>
        <patternFill patternType="none">
          <fgColor indexed="64"/>
          <bgColor indexed="65"/>
        </patternFill>
      </fill>
      <alignment horizontal="left" vertical="top" textRotation="0" wrapText="1" indent="0" justifyLastLine="0" shrinkToFit="0" readingOrder="0"/>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13"/>
        </patternFill>
      </fill>
    </dxf>
    <dxf>
      <fill>
        <patternFill>
          <bgColor indexed="13"/>
        </patternFill>
      </fill>
    </dxf>
    <dxf>
      <font>
        <strike val="0"/>
        <condense val="0"/>
        <extend val="0"/>
        <color indexed="9"/>
      </font>
    </dxf>
    <dxf>
      <font>
        <color rgb="FFC00000"/>
      </font>
    </dxf>
    <dxf>
      <font>
        <color rgb="FFC00000"/>
      </font>
    </dxf>
  </dxfs>
  <tableStyles count="0" defaultTableStyle="TableStyleMedium9" defaultPivotStyle="PivotStyleLight16"/>
  <colors>
    <mruColors>
      <color rgb="FFFFFFCC"/>
      <color rgb="FF800080"/>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stInflationTable" displayName="CostInflationTable" ref="A1:C24" totalsRowShown="0" headerRowDxfId="4" dataDxfId="3">
  <tableColumns count="3">
    <tableColumn id="1" xr3:uid="{00000000-0010-0000-0000-000001000000}" name="Financial Year" dataDxfId="2"/>
    <tableColumn id="2" xr3:uid="{00000000-0010-0000-0000-000002000000}" name="Yr begin" dataDxfId="1">
      <calculatedColumnFormula>LEFT(A2,4)</calculatedColumnFormula>
    </tableColumn>
    <tableColumn id="3" xr3:uid="{00000000-0010-0000-0000-000003000000}" name="CII"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3"/>
    <pageSetUpPr fitToPage="1"/>
  </sheetPr>
  <dimension ref="A1:C416"/>
  <sheetViews>
    <sheetView showGridLines="0" tabSelected="1" zoomScaleNormal="100" workbookViewId="0">
      <selection activeCell="B7" sqref="B7"/>
    </sheetView>
  </sheetViews>
  <sheetFormatPr defaultColWidth="0" defaultRowHeight="0" customHeight="1" zeroHeight="1" x14ac:dyDescent="0.25"/>
  <cols>
    <col min="1" max="1" width="9.83203125" style="117" customWidth="1"/>
    <col min="2" max="2" width="113.1640625" style="117" customWidth="1"/>
    <col min="3" max="3" width="0.1640625" style="117" customWidth="1"/>
    <col min="4" max="16384" width="10.6640625" style="117" hidden="1"/>
  </cols>
  <sheetData>
    <row r="1" spans="1:2" s="104" customFormat="1" ht="16.5" x14ac:dyDescent="0.3">
      <c r="A1" s="311" t="s">
        <v>89</v>
      </c>
      <c r="B1" s="312"/>
    </row>
    <row r="2" spans="1:2" s="104" customFormat="1" ht="13.5" x14ac:dyDescent="0.25">
      <c r="A2" s="313" t="s">
        <v>582</v>
      </c>
      <c r="B2" s="314"/>
    </row>
    <row r="3" spans="1:2" s="104" customFormat="1" ht="13.5" x14ac:dyDescent="0.25">
      <c r="A3" s="315" t="s">
        <v>565</v>
      </c>
      <c r="B3" s="316"/>
    </row>
    <row r="4" spans="1:2" s="104" customFormat="1" ht="13.5" x14ac:dyDescent="0.25">
      <c r="A4" s="317" t="s">
        <v>328</v>
      </c>
      <c r="B4" s="318"/>
    </row>
    <row r="5" spans="1:2" s="104" customFormat="1" ht="13.5" x14ac:dyDescent="0.25">
      <c r="A5" s="322" t="s">
        <v>90</v>
      </c>
      <c r="B5" s="323"/>
    </row>
    <row r="6" spans="1:2" s="104" customFormat="1" ht="13.5" x14ac:dyDescent="0.25"/>
    <row r="7" spans="1:2" s="105" customFormat="1" ht="13.5" x14ac:dyDescent="0.25">
      <c r="A7" s="152" t="s">
        <v>319</v>
      </c>
      <c r="B7" s="226" t="s">
        <v>91</v>
      </c>
    </row>
    <row r="8" spans="1:2" s="105" customFormat="1" ht="13.5" x14ac:dyDescent="0.25">
      <c r="A8" s="152" t="s">
        <v>320</v>
      </c>
      <c r="B8" s="151">
        <v>36892</v>
      </c>
    </row>
    <row r="9" spans="1:2" s="105" customFormat="1" ht="13.5" x14ac:dyDescent="0.25">
      <c r="B9" s="106"/>
    </row>
    <row r="10" spans="1:2" s="105" customFormat="1" ht="13.5" x14ac:dyDescent="0.25">
      <c r="A10" s="324" t="s">
        <v>92</v>
      </c>
      <c r="B10" s="325"/>
    </row>
    <row r="11" spans="1:2" s="105" customFormat="1" ht="13.5" x14ac:dyDescent="0.25">
      <c r="B11" s="106"/>
    </row>
    <row r="12" spans="1:2" s="105" customFormat="1" ht="60" customHeight="1" x14ac:dyDescent="0.25">
      <c r="A12" s="326" t="s">
        <v>127</v>
      </c>
      <c r="B12" s="327"/>
    </row>
    <row r="13" spans="1:2" s="105" customFormat="1" ht="13.5" x14ac:dyDescent="0.25">
      <c r="B13" s="106"/>
    </row>
    <row r="14" spans="1:2" s="105" customFormat="1" ht="13.5" x14ac:dyDescent="0.25">
      <c r="A14" s="319" t="s">
        <v>93</v>
      </c>
      <c r="B14" s="320"/>
    </row>
    <row r="15" spans="1:2" s="109" customFormat="1" ht="12.75" x14ac:dyDescent="0.25">
      <c r="A15" s="107"/>
      <c r="B15" s="108"/>
    </row>
    <row r="16" spans="1:2" s="109" customFormat="1" ht="12.75" x14ac:dyDescent="0.25">
      <c r="A16" s="110">
        <v>1</v>
      </c>
      <c r="B16" s="157" t="s">
        <v>94</v>
      </c>
    </row>
    <row r="17" spans="1:2" s="109" customFormat="1" ht="12.75" x14ac:dyDescent="0.25">
      <c r="A17" s="110">
        <v>2</v>
      </c>
      <c r="B17" s="157" t="s">
        <v>95</v>
      </c>
    </row>
    <row r="18" spans="1:2" s="109" customFormat="1" ht="12.75" x14ac:dyDescent="0.25">
      <c r="A18" s="110">
        <v>3</v>
      </c>
      <c r="B18" s="158" t="s">
        <v>490</v>
      </c>
    </row>
    <row r="19" spans="1:2" s="109" customFormat="1" ht="12.75" x14ac:dyDescent="0.25">
      <c r="A19" s="110">
        <v>4</v>
      </c>
      <c r="B19" s="158" t="s">
        <v>331</v>
      </c>
    </row>
    <row r="20" spans="1:2" s="109" customFormat="1" ht="25.5" x14ac:dyDescent="0.25">
      <c r="A20" s="110">
        <v>5</v>
      </c>
      <c r="B20" s="158" t="s">
        <v>507</v>
      </c>
    </row>
    <row r="21" spans="1:2" s="109" customFormat="1" ht="12.75" x14ac:dyDescent="0.25">
      <c r="A21" s="110">
        <v>6</v>
      </c>
      <c r="B21" s="157" t="s">
        <v>201</v>
      </c>
    </row>
    <row r="22" spans="1:2" s="109" customFormat="1" ht="25.5" x14ac:dyDescent="0.25">
      <c r="A22" s="110">
        <v>7</v>
      </c>
      <c r="B22" s="158" t="s">
        <v>508</v>
      </c>
    </row>
    <row r="23" spans="1:2" s="109" customFormat="1" ht="38.25" x14ac:dyDescent="0.25">
      <c r="A23" s="110">
        <v>8</v>
      </c>
      <c r="B23" s="158" t="s">
        <v>509</v>
      </c>
    </row>
    <row r="24" spans="1:2" s="109" customFormat="1" ht="54" customHeight="1" x14ac:dyDescent="0.25">
      <c r="A24" s="110">
        <v>9</v>
      </c>
      <c r="B24" s="157" t="s">
        <v>510</v>
      </c>
    </row>
    <row r="25" spans="1:2" s="109" customFormat="1" ht="12.75" x14ac:dyDescent="0.25">
      <c r="A25" s="110">
        <v>10</v>
      </c>
      <c r="B25" s="158" t="s">
        <v>572</v>
      </c>
    </row>
    <row r="26" spans="1:2" s="109" customFormat="1" ht="12.75" x14ac:dyDescent="0.25">
      <c r="A26" s="110">
        <v>11</v>
      </c>
      <c r="B26" s="158" t="s">
        <v>552</v>
      </c>
    </row>
    <row r="27" spans="1:2" s="109" customFormat="1" ht="12.75" x14ac:dyDescent="0.25">
      <c r="A27" s="110">
        <v>12</v>
      </c>
      <c r="B27" s="158" t="s">
        <v>511</v>
      </c>
    </row>
    <row r="28" spans="1:2" s="109" customFormat="1" ht="12.75" x14ac:dyDescent="0.25">
      <c r="A28" s="110">
        <v>13</v>
      </c>
      <c r="B28" s="158" t="s">
        <v>512</v>
      </c>
    </row>
    <row r="29" spans="1:2" s="109" customFormat="1" ht="12.75" x14ac:dyDescent="0.25">
      <c r="A29" s="110">
        <v>14</v>
      </c>
      <c r="B29" s="158" t="s">
        <v>513</v>
      </c>
    </row>
    <row r="30" spans="1:2" s="109" customFormat="1" ht="12.75" x14ac:dyDescent="0.25">
      <c r="A30" s="110">
        <v>15</v>
      </c>
      <c r="B30" s="158" t="s">
        <v>514</v>
      </c>
    </row>
    <row r="31" spans="1:2" s="109" customFormat="1" ht="12.75" x14ac:dyDescent="0.25">
      <c r="A31" s="110">
        <v>16</v>
      </c>
      <c r="B31" s="158" t="s">
        <v>515</v>
      </c>
    </row>
    <row r="32" spans="1:2" s="109" customFormat="1" ht="38.25" x14ac:dyDescent="0.25">
      <c r="A32" s="110">
        <v>17</v>
      </c>
      <c r="B32" s="158" t="s">
        <v>516</v>
      </c>
    </row>
    <row r="33" spans="1:2" s="109" customFormat="1" ht="12.75" x14ac:dyDescent="0.25">
      <c r="A33" s="110">
        <v>18</v>
      </c>
      <c r="B33" s="158" t="s">
        <v>543</v>
      </c>
    </row>
    <row r="34" spans="1:2" s="109" customFormat="1" ht="25.5" x14ac:dyDescent="0.25">
      <c r="A34" s="110">
        <v>19</v>
      </c>
      <c r="B34" s="158" t="s">
        <v>547</v>
      </c>
    </row>
    <row r="35" spans="1:2" s="109" customFormat="1" ht="38.25" x14ac:dyDescent="0.25">
      <c r="A35" s="110">
        <v>20</v>
      </c>
      <c r="B35" s="158" t="s">
        <v>517</v>
      </c>
    </row>
    <row r="36" spans="1:2" s="109" customFormat="1" ht="12.75" x14ac:dyDescent="0.25">
      <c r="A36" s="110">
        <v>21</v>
      </c>
      <c r="B36" s="158" t="s">
        <v>251</v>
      </c>
    </row>
    <row r="37" spans="1:2" s="109" customFormat="1" ht="12.75" x14ac:dyDescent="0.25">
      <c r="A37" s="110">
        <v>22</v>
      </c>
      <c r="B37" s="157" t="s">
        <v>241</v>
      </c>
    </row>
    <row r="38" spans="1:2" s="109" customFormat="1" ht="38.25" x14ac:dyDescent="0.25">
      <c r="A38" s="110">
        <v>23</v>
      </c>
      <c r="B38" s="158" t="s">
        <v>553</v>
      </c>
    </row>
    <row r="39" spans="1:2" s="109" customFormat="1" ht="25.5" x14ac:dyDescent="0.25">
      <c r="A39" s="110">
        <v>24</v>
      </c>
      <c r="B39" s="158" t="s">
        <v>255</v>
      </c>
    </row>
    <row r="40" spans="1:2" s="109" customFormat="1" ht="12.75" x14ac:dyDescent="0.25">
      <c r="A40" s="110">
        <v>25</v>
      </c>
      <c r="B40" s="157" t="s">
        <v>202</v>
      </c>
    </row>
    <row r="41" spans="1:2" s="109" customFormat="1" ht="12.75" x14ac:dyDescent="0.25">
      <c r="A41" s="110">
        <v>26</v>
      </c>
      <c r="B41" s="157" t="s">
        <v>203</v>
      </c>
    </row>
    <row r="42" spans="1:2" s="109" customFormat="1" ht="25.5" x14ac:dyDescent="0.25">
      <c r="A42" s="110">
        <v>27</v>
      </c>
      <c r="B42" s="158" t="s">
        <v>534</v>
      </c>
    </row>
    <row r="43" spans="1:2" s="109" customFormat="1" ht="12.75" x14ac:dyDescent="0.25">
      <c r="A43" s="110">
        <v>28</v>
      </c>
      <c r="B43" s="158" t="s">
        <v>459</v>
      </c>
    </row>
    <row r="44" spans="1:2" s="109" customFormat="1" ht="12.75" x14ac:dyDescent="0.25">
      <c r="A44" s="110">
        <v>29</v>
      </c>
      <c r="B44" s="158" t="s">
        <v>437</v>
      </c>
    </row>
    <row r="45" spans="1:2" s="109" customFormat="1" ht="12.75" x14ac:dyDescent="0.25">
      <c r="A45" s="110">
        <v>30</v>
      </c>
      <c r="B45" s="157" t="s">
        <v>235</v>
      </c>
    </row>
    <row r="46" spans="1:2" s="109" customFormat="1" ht="25.5" x14ac:dyDescent="0.25">
      <c r="A46" s="110">
        <v>31</v>
      </c>
      <c r="B46" s="157" t="s">
        <v>236</v>
      </c>
    </row>
    <row r="47" spans="1:2" s="109" customFormat="1" ht="12.75" x14ac:dyDescent="0.25">
      <c r="A47" s="110">
        <v>32</v>
      </c>
      <c r="B47" s="158" t="s">
        <v>549</v>
      </c>
    </row>
    <row r="48" spans="1:2" s="109" customFormat="1" ht="12.75" x14ac:dyDescent="0.25">
      <c r="A48" s="110">
        <v>33</v>
      </c>
      <c r="B48" s="158" t="s">
        <v>252</v>
      </c>
    </row>
    <row r="49" spans="1:2" s="109" customFormat="1" ht="12.75" x14ac:dyDescent="0.25">
      <c r="A49" s="110">
        <v>34</v>
      </c>
      <c r="B49" s="158" t="s">
        <v>554</v>
      </c>
    </row>
    <row r="50" spans="1:2" s="109" customFormat="1" ht="12.75" x14ac:dyDescent="0.25">
      <c r="A50" s="110">
        <v>35</v>
      </c>
      <c r="B50" s="158" t="s">
        <v>491</v>
      </c>
    </row>
    <row r="51" spans="1:2" s="109" customFormat="1" ht="12.75" x14ac:dyDescent="0.25">
      <c r="A51" s="110">
        <v>36</v>
      </c>
      <c r="B51" s="158" t="s">
        <v>555</v>
      </c>
    </row>
    <row r="52" spans="1:2" s="109" customFormat="1" ht="25.5" x14ac:dyDescent="0.25">
      <c r="A52" s="110">
        <v>37</v>
      </c>
      <c r="B52" s="158" t="s">
        <v>438</v>
      </c>
    </row>
    <row r="53" spans="1:2" s="109" customFormat="1" ht="12.75" x14ac:dyDescent="0.25">
      <c r="A53" s="110">
        <v>38</v>
      </c>
      <c r="B53" s="158" t="s">
        <v>337</v>
      </c>
    </row>
    <row r="54" spans="1:2" s="109" customFormat="1" ht="12.75" x14ac:dyDescent="0.25">
      <c r="A54" s="110">
        <v>39</v>
      </c>
      <c r="B54" s="158" t="s">
        <v>340</v>
      </c>
    </row>
    <row r="55" spans="1:2" s="109" customFormat="1" ht="38.25" x14ac:dyDescent="0.25">
      <c r="A55" s="110">
        <v>40</v>
      </c>
      <c r="B55" s="158" t="s">
        <v>327</v>
      </c>
    </row>
    <row r="56" spans="1:2" s="109" customFormat="1" ht="12.75" x14ac:dyDescent="0.25">
      <c r="A56" s="108"/>
      <c r="B56" s="108"/>
    </row>
    <row r="57" spans="1:2" s="109" customFormat="1" ht="13.5" x14ac:dyDescent="0.25">
      <c r="A57" s="319" t="s">
        <v>96</v>
      </c>
      <c r="B57" s="320"/>
    </row>
    <row r="58" spans="1:2" s="109" customFormat="1" ht="12.75" x14ac:dyDescent="0.25">
      <c r="A58" s="108"/>
      <c r="B58" s="108"/>
    </row>
    <row r="59" spans="1:2" s="109" customFormat="1" ht="12.75" x14ac:dyDescent="0.25">
      <c r="A59" s="110">
        <v>1</v>
      </c>
      <c r="B59" s="157" t="s">
        <v>196</v>
      </c>
    </row>
    <row r="60" spans="1:2" s="109" customFormat="1" ht="25.5" x14ac:dyDescent="0.25">
      <c r="A60" s="110">
        <v>2</v>
      </c>
      <c r="B60" s="158" t="s">
        <v>573</v>
      </c>
    </row>
    <row r="61" spans="1:2" s="109" customFormat="1" ht="12.75" x14ac:dyDescent="0.25">
      <c r="A61" s="110">
        <v>3</v>
      </c>
      <c r="B61" s="157" t="s">
        <v>237</v>
      </c>
    </row>
    <row r="62" spans="1:2" s="109" customFormat="1" ht="25.5" x14ac:dyDescent="0.25">
      <c r="A62" s="110">
        <v>4</v>
      </c>
      <c r="B62" s="158" t="s">
        <v>496</v>
      </c>
    </row>
    <row r="63" spans="1:2" s="109" customFormat="1" ht="25.5" x14ac:dyDescent="0.25">
      <c r="A63" s="110">
        <v>5</v>
      </c>
      <c r="B63" s="158" t="s">
        <v>330</v>
      </c>
    </row>
    <row r="64" spans="1:2" s="109" customFormat="1" ht="51" x14ac:dyDescent="0.25">
      <c r="A64" s="110">
        <v>6</v>
      </c>
      <c r="B64" s="158" t="s">
        <v>556</v>
      </c>
    </row>
    <row r="65" spans="1:2" s="109" customFormat="1" ht="25.5" x14ac:dyDescent="0.25">
      <c r="A65" s="110">
        <v>7</v>
      </c>
      <c r="B65" s="158" t="s">
        <v>460</v>
      </c>
    </row>
    <row r="66" spans="1:2" s="109" customFormat="1" ht="38.25" x14ac:dyDescent="0.25">
      <c r="A66" s="110">
        <v>8</v>
      </c>
      <c r="B66" s="158" t="s">
        <v>439</v>
      </c>
    </row>
    <row r="67" spans="1:2" s="109" customFormat="1" ht="25.5" x14ac:dyDescent="0.25">
      <c r="A67" s="110">
        <v>9</v>
      </c>
      <c r="B67" s="158" t="s">
        <v>361</v>
      </c>
    </row>
    <row r="68" spans="1:2" s="109" customFormat="1" ht="25.5" x14ac:dyDescent="0.25">
      <c r="A68" s="110">
        <v>10</v>
      </c>
      <c r="B68" s="158" t="s">
        <v>440</v>
      </c>
    </row>
    <row r="69" spans="1:2" s="109" customFormat="1" ht="25.5" x14ac:dyDescent="0.25">
      <c r="A69" s="110">
        <v>11</v>
      </c>
      <c r="B69" s="158" t="s">
        <v>362</v>
      </c>
    </row>
    <row r="70" spans="1:2" s="109" customFormat="1" ht="25.5" x14ac:dyDescent="0.25">
      <c r="A70" s="110">
        <v>12</v>
      </c>
      <c r="B70" s="159" t="s">
        <v>506</v>
      </c>
    </row>
    <row r="71" spans="1:2" s="109" customFormat="1" ht="25.5" x14ac:dyDescent="0.25">
      <c r="A71" s="110">
        <v>13</v>
      </c>
      <c r="B71" s="159" t="s">
        <v>365</v>
      </c>
    </row>
    <row r="72" spans="1:2" s="109" customFormat="1" ht="25.5" x14ac:dyDescent="0.25">
      <c r="A72" s="110">
        <v>14</v>
      </c>
      <c r="B72" s="158" t="s">
        <v>548</v>
      </c>
    </row>
    <row r="73" spans="1:2" s="109" customFormat="1" ht="25.5" x14ac:dyDescent="0.25">
      <c r="A73" s="110">
        <v>15</v>
      </c>
      <c r="B73" s="158" t="s">
        <v>441</v>
      </c>
    </row>
    <row r="74" spans="1:2" s="109" customFormat="1" ht="17.25" customHeight="1" x14ac:dyDescent="0.25">
      <c r="A74" s="110">
        <v>16</v>
      </c>
      <c r="B74" s="158" t="s">
        <v>360</v>
      </c>
    </row>
    <row r="75" spans="1:2" s="109" customFormat="1" ht="51" x14ac:dyDescent="0.25">
      <c r="A75" s="110">
        <v>17</v>
      </c>
      <c r="B75" s="158" t="s">
        <v>492</v>
      </c>
    </row>
    <row r="76" spans="1:2" s="109" customFormat="1" ht="51" x14ac:dyDescent="0.25">
      <c r="A76" s="110">
        <v>18</v>
      </c>
      <c r="B76" s="158" t="s">
        <v>254</v>
      </c>
    </row>
    <row r="77" spans="1:2" s="109" customFormat="1" ht="12.75" x14ac:dyDescent="0.25">
      <c r="A77" s="110">
        <v>19</v>
      </c>
      <c r="B77" s="158" t="s">
        <v>557</v>
      </c>
    </row>
    <row r="78" spans="1:2" s="109" customFormat="1" ht="12.75" x14ac:dyDescent="0.25">
      <c r="A78" s="110">
        <v>20</v>
      </c>
      <c r="B78" s="158" t="s">
        <v>574</v>
      </c>
    </row>
    <row r="79" spans="1:2" s="109" customFormat="1" ht="12.75" x14ac:dyDescent="0.25">
      <c r="A79" s="110">
        <v>21</v>
      </c>
      <c r="B79" s="157" t="s">
        <v>238</v>
      </c>
    </row>
    <row r="80" spans="1:2" s="109" customFormat="1" ht="12.75" x14ac:dyDescent="0.25">
      <c r="A80" s="110"/>
      <c r="B80" s="157"/>
    </row>
    <row r="81" spans="1:2" s="109" customFormat="1" ht="12.75" x14ac:dyDescent="0.25">
      <c r="A81" s="108"/>
      <c r="B81" s="108"/>
    </row>
    <row r="82" spans="1:2" s="109" customFormat="1" ht="13.5" x14ac:dyDescent="0.25">
      <c r="A82" s="319" t="s">
        <v>97</v>
      </c>
      <c r="B82" s="320"/>
    </row>
    <row r="83" spans="1:2" s="109" customFormat="1" ht="12.75" x14ac:dyDescent="0.25">
      <c r="A83" s="108"/>
      <c r="B83" s="108"/>
    </row>
    <row r="84" spans="1:2" s="109" customFormat="1" ht="12.75" x14ac:dyDescent="0.25">
      <c r="A84" s="110">
        <v>1</v>
      </c>
      <c r="B84" s="142" t="s">
        <v>383</v>
      </c>
    </row>
    <row r="85" spans="1:2" s="109" customFormat="1" ht="12.75" x14ac:dyDescent="0.25">
      <c r="A85" s="110">
        <v>2</v>
      </c>
      <c r="B85" s="111" t="s">
        <v>98</v>
      </c>
    </row>
    <row r="86" spans="1:2" s="109" customFormat="1" ht="12.75" x14ac:dyDescent="0.25">
      <c r="A86" s="110">
        <v>3</v>
      </c>
      <c r="B86" s="142" t="s">
        <v>329</v>
      </c>
    </row>
    <row r="87" spans="1:2" s="109" customFormat="1" ht="25.5" x14ac:dyDescent="0.25">
      <c r="A87" s="110">
        <v>4</v>
      </c>
      <c r="B87" s="111" t="s">
        <v>99</v>
      </c>
    </row>
    <row r="88" spans="1:2" s="109" customFormat="1" ht="25.5" x14ac:dyDescent="0.25">
      <c r="A88" s="110">
        <v>5</v>
      </c>
      <c r="B88" s="142" t="s">
        <v>384</v>
      </c>
    </row>
    <row r="89" spans="1:2" s="109" customFormat="1" ht="25.5" x14ac:dyDescent="0.25">
      <c r="A89" s="110">
        <v>6</v>
      </c>
      <c r="B89" s="142" t="s">
        <v>363</v>
      </c>
    </row>
    <row r="90" spans="1:2" s="112" customFormat="1" ht="25.5" x14ac:dyDescent="0.25">
      <c r="A90" s="110">
        <v>7</v>
      </c>
      <c r="B90" s="142" t="s">
        <v>266</v>
      </c>
    </row>
    <row r="91" spans="1:2" s="112" customFormat="1" ht="25.5" x14ac:dyDescent="0.25">
      <c r="A91" s="110">
        <v>8</v>
      </c>
      <c r="B91" s="111" t="s">
        <v>197</v>
      </c>
    </row>
    <row r="92" spans="1:2" s="112" customFormat="1" ht="25.5" x14ac:dyDescent="0.25">
      <c r="A92" s="110">
        <v>9</v>
      </c>
      <c r="B92" s="142" t="s">
        <v>385</v>
      </c>
    </row>
    <row r="93" spans="1:2" s="112" customFormat="1" ht="24.75" customHeight="1" x14ac:dyDescent="0.25">
      <c r="A93" s="110">
        <v>10</v>
      </c>
      <c r="B93" s="113" t="s">
        <v>100</v>
      </c>
    </row>
    <row r="94" spans="1:2" s="112" customFormat="1" ht="12.75" x14ac:dyDescent="0.25">
      <c r="A94" s="108"/>
      <c r="B94" s="108"/>
    </row>
    <row r="95" spans="1:2" s="112" customFormat="1" ht="12.75" x14ac:dyDescent="0.25">
      <c r="A95" s="114"/>
      <c r="B95" s="114"/>
    </row>
    <row r="96" spans="1:2" s="105" customFormat="1" ht="13.5" x14ac:dyDescent="0.25">
      <c r="A96" s="321" t="s">
        <v>101</v>
      </c>
      <c r="B96" s="321"/>
    </row>
    <row r="97" spans="1:2" s="112" customFormat="1" ht="12.75" x14ac:dyDescent="0.25">
      <c r="B97" s="114"/>
    </row>
    <row r="98" spans="1:2" s="112" customFormat="1" ht="12.75" x14ac:dyDescent="0.25">
      <c r="B98" s="114"/>
    </row>
    <row r="99" spans="1:2" s="112" customFormat="1" ht="13.5" x14ac:dyDescent="0.25">
      <c r="A99" s="319" t="s">
        <v>102</v>
      </c>
      <c r="B99" s="320"/>
    </row>
    <row r="100" spans="1:2" s="112" customFormat="1" ht="13.5" x14ac:dyDescent="0.25">
      <c r="A100" s="115"/>
      <c r="B100" s="114"/>
    </row>
    <row r="101" spans="1:2" s="112" customFormat="1" ht="12.75" x14ac:dyDescent="0.25">
      <c r="A101" s="116" t="s">
        <v>590</v>
      </c>
      <c r="B101" s="114"/>
    </row>
    <row r="102" spans="1:2" s="112" customFormat="1" ht="12.75" x14ac:dyDescent="0.25">
      <c r="B102" s="144" t="s">
        <v>587</v>
      </c>
    </row>
    <row r="103" spans="1:2" s="112" customFormat="1" ht="12.75" x14ac:dyDescent="0.25">
      <c r="A103" s="116" t="s">
        <v>575</v>
      </c>
      <c r="B103" s="114"/>
    </row>
    <row r="104" spans="1:2" s="112" customFormat="1" ht="12.75" x14ac:dyDescent="0.25">
      <c r="B104" s="144" t="s">
        <v>566</v>
      </c>
    </row>
    <row r="105" spans="1:2" s="112" customFormat="1" ht="12.75" x14ac:dyDescent="0.25">
      <c r="A105" s="116" t="s">
        <v>563</v>
      </c>
      <c r="B105" s="114"/>
    </row>
    <row r="106" spans="1:2" s="112" customFormat="1" ht="12.75" x14ac:dyDescent="0.25">
      <c r="B106" s="144" t="s">
        <v>564</v>
      </c>
    </row>
    <row r="107" spans="1:2" s="112" customFormat="1" ht="12.75" x14ac:dyDescent="0.25">
      <c r="A107" s="116" t="s">
        <v>560</v>
      </c>
      <c r="B107" s="114"/>
    </row>
    <row r="108" spans="1:2" s="112" customFormat="1" ht="12.75" x14ac:dyDescent="0.25">
      <c r="B108" s="144" t="s">
        <v>561</v>
      </c>
    </row>
    <row r="109" spans="1:2" s="112" customFormat="1" ht="12.75" x14ac:dyDescent="0.25">
      <c r="A109" s="116" t="s">
        <v>558</v>
      </c>
      <c r="B109" s="114"/>
    </row>
    <row r="110" spans="1:2" s="112" customFormat="1" ht="12.75" x14ac:dyDescent="0.25">
      <c r="B110" s="144" t="s">
        <v>542</v>
      </c>
    </row>
    <row r="111" spans="1:2" s="112" customFormat="1" ht="12.75" x14ac:dyDescent="0.25">
      <c r="A111" s="116" t="s">
        <v>539</v>
      </c>
      <c r="B111" s="114"/>
    </row>
    <row r="112" spans="1:2" s="112" customFormat="1" ht="12.75" x14ac:dyDescent="0.25">
      <c r="B112" s="144" t="s">
        <v>540</v>
      </c>
    </row>
    <row r="113" spans="1:2" s="112" customFormat="1" ht="12.75" x14ac:dyDescent="0.25">
      <c r="A113" s="116" t="s">
        <v>532</v>
      </c>
      <c r="B113" s="114"/>
    </row>
    <row r="114" spans="1:2" s="112" customFormat="1" ht="12.75" x14ac:dyDescent="0.25">
      <c r="B114" s="144" t="s">
        <v>533</v>
      </c>
    </row>
    <row r="115" spans="1:2" s="112" customFormat="1" ht="12.75" x14ac:dyDescent="0.25">
      <c r="A115" s="116" t="s">
        <v>522</v>
      </c>
      <c r="B115" s="114"/>
    </row>
    <row r="116" spans="1:2" s="112" customFormat="1" ht="12.75" x14ac:dyDescent="0.25">
      <c r="B116" s="144" t="s">
        <v>521</v>
      </c>
    </row>
    <row r="117" spans="1:2" s="112" customFormat="1" ht="12.75" x14ac:dyDescent="0.25">
      <c r="A117" s="116" t="s">
        <v>520</v>
      </c>
      <c r="B117" s="114"/>
    </row>
    <row r="118" spans="1:2" s="112" customFormat="1" ht="12.75" x14ac:dyDescent="0.25">
      <c r="B118" s="144" t="s">
        <v>519</v>
      </c>
    </row>
    <row r="119" spans="1:2" s="112" customFormat="1" ht="12.75" x14ac:dyDescent="0.25">
      <c r="A119" s="116" t="s">
        <v>498</v>
      </c>
      <c r="B119" s="114"/>
    </row>
    <row r="120" spans="1:2" s="112" customFormat="1" ht="12.75" x14ac:dyDescent="0.25">
      <c r="B120" s="144" t="s">
        <v>499</v>
      </c>
    </row>
    <row r="121" spans="1:2" s="112" customFormat="1" ht="12.75" x14ac:dyDescent="0.25">
      <c r="A121" s="116" t="s">
        <v>497</v>
      </c>
      <c r="B121" s="114"/>
    </row>
    <row r="122" spans="1:2" s="112" customFormat="1" ht="12.75" x14ac:dyDescent="0.25">
      <c r="B122" s="144" t="s">
        <v>467</v>
      </c>
    </row>
    <row r="123" spans="1:2" s="112" customFormat="1" ht="12.75" x14ac:dyDescent="0.25">
      <c r="A123" s="116" t="s">
        <v>466</v>
      </c>
      <c r="B123" s="114"/>
    </row>
    <row r="124" spans="1:2" s="112" customFormat="1" ht="12.75" x14ac:dyDescent="0.25">
      <c r="B124" s="144" t="s">
        <v>465</v>
      </c>
    </row>
    <row r="125" spans="1:2" s="112" customFormat="1" ht="12.75" x14ac:dyDescent="0.25">
      <c r="A125" s="116" t="s">
        <v>461</v>
      </c>
      <c r="B125" s="114"/>
    </row>
    <row r="126" spans="1:2" s="112" customFormat="1" ht="12.75" x14ac:dyDescent="0.25">
      <c r="B126" s="144" t="s">
        <v>448</v>
      </c>
    </row>
    <row r="127" spans="1:2" s="112" customFormat="1" ht="12.75" x14ac:dyDescent="0.25">
      <c r="A127" s="116" t="s">
        <v>445</v>
      </c>
      <c r="B127" s="114"/>
    </row>
    <row r="128" spans="1:2" s="112" customFormat="1" ht="12.75" x14ac:dyDescent="0.25">
      <c r="B128" s="144" t="s">
        <v>372</v>
      </c>
    </row>
    <row r="129" spans="1:2" s="112" customFormat="1" ht="12.75" x14ac:dyDescent="0.25">
      <c r="A129" s="116" t="s">
        <v>443</v>
      </c>
      <c r="B129" s="114"/>
    </row>
    <row r="130" spans="1:2" s="112" customFormat="1" ht="12.75" x14ac:dyDescent="0.25">
      <c r="B130" s="144" t="s">
        <v>442</v>
      </c>
    </row>
    <row r="131" spans="1:2" s="112" customFormat="1" ht="12.75" x14ac:dyDescent="0.25">
      <c r="A131" s="116" t="s">
        <v>424</v>
      </c>
      <c r="B131" s="114"/>
    </row>
    <row r="132" spans="1:2" s="112" customFormat="1" ht="12.75" x14ac:dyDescent="0.25">
      <c r="B132" s="144" t="s">
        <v>372</v>
      </c>
    </row>
    <row r="133" spans="1:2" s="112" customFormat="1" ht="12.75" x14ac:dyDescent="0.25">
      <c r="A133" s="116" t="s">
        <v>374</v>
      </c>
      <c r="B133" s="114"/>
    </row>
    <row r="134" spans="1:2" s="112" customFormat="1" ht="12.75" x14ac:dyDescent="0.25">
      <c r="B134" s="144" t="s">
        <v>382</v>
      </c>
    </row>
    <row r="135" spans="1:2" s="112" customFormat="1" ht="12.75" x14ac:dyDescent="0.25">
      <c r="A135" s="116" t="s">
        <v>371</v>
      </c>
      <c r="B135" s="114"/>
    </row>
    <row r="136" spans="1:2" s="112" customFormat="1" ht="12.75" x14ac:dyDescent="0.25">
      <c r="B136" s="144" t="s">
        <v>372</v>
      </c>
    </row>
    <row r="137" spans="1:2" s="112" customFormat="1" ht="12.75" x14ac:dyDescent="0.25">
      <c r="A137" s="116" t="s">
        <v>364</v>
      </c>
      <c r="B137" s="114"/>
    </row>
    <row r="138" spans="1:2" s="112" customFormat="1" ht="12.75" x14ac:dyDescent="0.25">
      <c r="B138" s="144" t="s">
        <v>370</v>
      </c>
    </row>
    <row r="139" spans="1:2" s="112" customFormat="1" ht="12.75" x14ac:dyDescent="0.25">
      <c r="A139" s="116" t="s">
        <v>359</v>
      </c>
      <c r="B139" s="114"/>
    </row>
    <row r="140" spans="1:2" s="112" customFormat="1" ht="12.75" x14ac:dyDescent="0.25">
      <c r="B140" s="144" t="s">
        <v>358</v>
      </c>
    </row>
    <row r="141" spans="1:2" s="112" customFormat="1" ht="12.75" x14ac:dyDescent="0.25">
      <c r="A141" s="116" t="s">
        <v>356</v>
      </c>
      <c r="B141" s="114"/>
    </row>
    <row r="142" spans="1:2" s="112" customFormat="1" ht="12.75" x14ac:dyDescent="0.25">
      <c r="B142" s="144" t="s">
        <v>357</v>
      </c>
    </row>
    <row r="143" spans="1:2" s="112" customFormat="1" ht="12.75" x14ac:dyDescent="0.25">
      <c r="A143" s="116" t="s">
        <v>354</v>
      </c>
      <c r="B143" s="114"/>
    </row>
    <row r="144" spans="1:2" s="112" customFormat="1" ht="12.75" x14ac:dyDescent="0.25">
      <c r="B144" s="144" t="s">
        <v>355</v>
      </c>
    </row>
    <row r="145" spans="1:2" s="112" customFormat="1" ht="12.75" x14ac:dyDescent="0.25">
      <c r="A145" s="116" t="s">
        <v>338</v>
      </c>
      <c r="B145" s="114"/>
    </row>
    <row r="146" spans="1:2" s="112" customFormat="1" ht="12.75" x14ac:dyDescent="0.25">
      <c r="B146" s="144" t="s">
        <v>341</v>
      </c>
    </row>
    <row r="147" spans="1:2" s="112" customFormat="1" ht="12.75" x14ac:dyDescent="0.25">
      <c r="A147" s="116" t="s">
        <v>325</v>
      </c>
      <c r="B147" s="114"/>
    </row>
    <row r="148" spans="1:2" s="112" customFormat="1" ht="12.75" x14ac:dyDescent="0.25">
      <c r="B148" s="144" t="s">
        <v>326</v>
      </c>
    </row>
    <row r="149" spans="1:2" s="112" customFormat="1" ht="12.75" x14ac:dyDescent="0.25">
      <c r="A149" s="116" t="s">
        <v>271</v>
      </c>
      <c r="B149" s="114"/>
    </row>
    <row r="150" spans="1:2" s="112" customFormat="1" ht="12.75" x14ac:dyDescent="0.25">
      <c r="B150" s="144" t="s">
        <v>272</v>
      </c>
    </row>
    <row r="151" spans="1:2" s="112" customFormat="1" ht="12.75" x14ac:dyDescent="0.25">
      <c r="A151" s="116" t="s">
        <v>270</v>
      </c>
      <c r="B151" s="114"/>
    </row>
    <row r="152" spans="1:2" s="112" customFormat="1" ht="12.75" x14ac:dyDescent="0.25">
      <c r="B152" s="144" t="s">
        <v>269</v>
      </c>
    </row>
    <row r="153" spans="1:2" s="112" customFormat="1" ht="12.75" x14ac:dyDescent="0.25">
      <c r="A153" s="116" t="s">
        <v>264</v>
      </c>
      <c r="B153" s="114"/>
    </row>
    <row r="154" spans="1:2" s="112" customFormat="1" ht="12.75" x14ac:dyDescent="0.25">
      <c r="B154" s="144" t="s">
        <v>268</v>
      </c>
    </row>
    <row r="155" spans="1:2" s="112" customFormat="1" ht="12.75" x14ac:dyDescent="0.25">
      <c r="A155" s="116" t="s">
        <v>257</v>
      </c>
      <c r="B155" s="114"/>
    </row>
    <row r="156" spans="1:2" s="112" customFormat="1" ht="12.75" x14ac:dyDescent="0.25">
      <c r="B156" s="144" t="s">
        <v>256</v>
      </c>
    </row>
    <row r="157" spans="1:2" s="112" customFormat="1" ht="12.75" x14ac:dyDescent="0.25">
      <c r="A157" s="116" t="s">
        <v>253</v>
      </c>
      <c r="B157" s="114"/>
    </row>
    <row r="158" spans="1:2" s="112" customFormat="1" ht="12.75" x14ac:dyDescent="0.25">
      <c r="B158" s="114" t="s">
        <v>242</v>
      </c>
    </row>
    <row r="159" spans="1:2" s="112" customFormat="1" ht="12.75" x14ac:dyDescent="0.25">
      <c r="A159" s="116" t="s">
        <v>239</v>
      </c>
      <c r="B159" s="114"/>
    </row>
    <row r="160" spans="1:2" s="112" customFormat="1" ht="12.75" x14ac:dyDescent="0.25">
      <c r="B160" s="114" t="s">
        <v>240</v>
      </c>
    </row>
    <row r="161" spans="1:2" s="112" customFormat="1" ht="12.75" x14ac:dyDescent="0.25">
      <c r="A161" s="116" t="s">
        <v>225</v>
      </c>
      <c r="B161" s="114"/>
    </row>
    <row r="162" spans="1:2" s="112" customFormat="1" ht="12.75" x14ac:dyDescent="0.25">
      <c r="B162" s="114" t="s">
        <v>222</v>
      </c>
    </row>
    <row r="163" spans="1:2" s="112" customFormat="1" ht="12.75" x14ac:dyDescent="0.25">
      <c r="A163" s="116" t="s">
        <v>220</v>
      </c>
      <c r="B163" s="114"/>
    </row>
    <row r="164" spans="1:2" s="112" customFormat="1" ht="12.75" x14ac:dyDescent="0.25">
      <c r="B164" s="114" t="s">
        <v>219</v>
      </c>
    </row>
    <row r="165" spans="1:2" s="112" customFormat="1" ht="12.75" x14ac:dyDescent="0.25">
      <c r="A165" s="116" t="s">
        <v>204</v>
      </c>
      <c r="B165" s="114"/>
    </row>
    <row r="166" spans="1:2" s="112" customFormat="1" ht="12.75" x14ac:dyDescent="0.25">
      <c r="B166" s="114" t="s">
        <v>200</v>
      </c>
    </row>
    <row r="167" spans="1:2" s="112" customFormat="1" ht="12.75" x14ac:dyDescent="0.25">
      <c r="A167" s="116" t="s">
        <v>198</v>
      </c>
      <c r="B167" s="114"/>
    </row>
    <row r="168" spans="1:2" s="112" customFormat="1" ht="12.75" x14ac:dyDescent="0.25">
      <c r="B168" s="114" t="s">
        <v>199</v>
      </c>
    </row>
    <row r="169" spans="1:2" s="112" customFormat="1" ht="12.75" x14ac:dyDescent="0.25">
      <c r="A169" s="116" t="s">
        <v>103</v>
      </c>
      <c r="B169" s="114"/>
    </row>
    <row r="170" spans="1:2" s="112" customFormat="1" ht="12.75" x14ac:dyDescent="0.25">
      <c r="B170" s="114" t="s">
        <v>104</v>
      </c>
    </row>
    <row r="171" spans="1:2" s="112" customFormat="1" ht="12.75" x14ac:dyDescent="0.25">
      <c r="A171" s="116" t="s">
        <v>105</v>
      </c>
      <c r="B171" s="114"/>
    </row>
    <row r="172" spans="1:2" s="112" customFormat="1" ht="12.75" x14ac:dyDescent="0.25">
      <c r="B172" s="114" t="s">
        <v>106</v>
      </c>
    </row>
    <row r="173" spans="1:2" s="112" customFormat="1" ht="12.75" x14ac:dyDescent="0.25">
      <c r="A173" s="116" t="s">
        <v>107</v>
      </c>
      <c r="B173" s="114"/>
    </row>
    <row r="174" spans="1:2" s="112" customFormat="1" ht="12.75" x14ac:dyDescent="0.25">
      <c r="B174" s="114" t="s">
        <v>108</v>
      </c>
    </row>
    <row r="175" spans="1:2" s="112" customFormat="1" ht="12.75" x14ac:dyDescent="0.25">
      <c r="A175" s="116" t="s">
        <v>109</v>
      </c>
      <c r="B175" s="114"/>
    </row>
    <row r="176" spans="1:2" s="112" customFormat="1" ht="12.75" x14ac:dyDescent="0.25">
      <c r="B176" s="114" t="s">
        <v>110</v>
      </c>
    </row>
    <row r="177" spans="1:2" s="112" customFormat="1" ht="12.75" x14ac:dyDescent="0.25">
      <c r="A177" s="116" t="s">
        <v>111</v>
      </c>
      <c r="B177" s="114"/>
    </row>
    <row r="178" spans="1:2" s="112" customFormat="1" ht="25.5" x14ac:dyDescent="0.25">
      <c r="B178" s="114" t="s">
        <v>112</v>
      </c>
    </row>
    <row r="179" spans="1:2" s="112" customFormat="1" ht="12.75" x14ac:dyDescent="0.25">
      <c r="A179" s="116" t="s">
        <v>113</v>
      </c>
      <c r="B179" s="114"/>
    </row>
    <row r="180" spans="1:2" s="112" customFormat="1" ht="12.75" x14ac:dyDescent="0.25">
      <c r="B180" s="114" t="s">
        <v>114</v>
      </c>
    </row>
    <row r="181" spans="1:2" s="112" customFormat="1" ht="12.75" x14ac:dyDescent="0.25">
      <c r="A181" s="116" t="s">
        <v>115</v>
      </c>
      <c r="B181" s="114"/>
    </row>
    <row r="182" spans="1:2" s="112" customFormat="1" ht="25.5" x14ac:dyDescent="0.25">
      <c r="B182" s="114" t="s">
        <v>116</v>
      </c>
    </row>
    <row r="183" spans="1:2" s="112" customFormat="1" ht="12.75" x14ac:dyDescent="0.25">
      <c r="A183" s="116" t="s">
        <v>117</v>
      </c>
      <c r="B183" s="114"/>
    </row>
    <row r="184" spans="1:2" s="112" customFormat="1" ht="25.5" x14ac:dyDescent="0.25">
      <c r="B184" s="114" t="s">
        <v>118</v>
      </c>
    </row>
    <row r="185" spans="1:2" s="112" customFormat="1" ht="12.75" x14ac:dyDescent="0.25">
      <c r="A185" s="116" t="s">
        <v>119</v>
      </c>
      <c r="B185" s="114"/>
    </row>
    <row r="186" spans="1:2" s="112" customFormat="1" ht="12.75" x14ac:dyDescent="0.25">
      <c r="B186" s="114" t="s">
        <v>120</v>
      </c>
    </row>
    <row r="187" spans="1:2" s="112" customFormat="1" ht="12.75" x14ac:dyDescent="0.25">
      <c r="A187" s="116" t="s">
        <v>121</v>
      </c>
      <c r="B187" s="114"/>
    </row>
    <row r="188" spans="1:2" s="112" customFormat="1" ht="12.75" x14ac:dyDescent="0.25">
      <c r="B188" s="114" t="s">
        <v>122</v>
      </c>
    </row>
    <row r="189" spans="1:2" s="112" customFormat="1" ht="12.75" x14ac:dyDescent="0.25">
      <c r="A189" s="116" t="s">
        <v>123</v>
      </c>
      <c r="B189" s="114"/>
    </row>
    <row r="190" spans="1:2" s="112" customFormat="1" ht="12.75" x14ac:dyDescent="0.25">
      <c r="B190" s="114" t="s">
        <v>124</v>
      </c>
    </row>
    <row r="191" spans="1:2" s="112" customFormat="1" ht="12.75" x14ac:dyDescent="0.25">
      <c r="A191" s="116" t="s">
        <v>125</v>
      </c>
      <c r="B191" s="114"/>
    </row>
    <row r="192" spans="1:2" s="112" customFormat="1" ht="12.75" x14ac:dyDescent="0.25">
      <c r="B192" s="114" t="s">
        <v>126</v>
      </c>
    </row>
    <row r="193" spans="2:2" s="112" customFormat="1" ht="12.75" x14ac:dyDescent="0.25">
      <c r="B193" s="114"/>
    </row>
    <row r="194" spans="2:2" s="112" customFormat="1" ht="12.75" hidden="1" x14ac:dyDescent="0.25">
      <c r="B194" s="114"/>
    </row>
    <row r="195" spans="2:2" s="112" customFormat="1" ht="12.75" hidden="1" x14ac:dyDescent="0.25">
      <c r="B195" s="114"/>
    </row>
    <row r="196" spans="2:2" s="112" customFormat="1" ht="12.75" hidden="1" x14ac:dyDescent="0.25">
      <c r="B196" s="114"/>
    </row>
    <row r="197" spans="2:2" s="112" customFormat="1" ht="12.75" hidden="1" x14ac:dyDescent="0.25">
      <c r="B197" s="114"/>
    </row>
    <row r="198" spans="2:2" s="112" customFormat="1" ht="12.75" hidden="1" x14ac:dyDescent="0.25">
      <c r="B198" s="114"/>
    </row>
    <row r="199" spans="2:2" s="112" customFormat="1" ht="12.75" hidden="1" x14ac:dyDescent="0.25">
      <c r="B199" s="114"/>
    </row>
    <row r="200" spans="2:2" s="112" customFormat="1" ht="12.75" hidden="1" x14ac:dyDescent="0.25">
      <c r="B200" s="114"/>
    </row>
    <row r="201" spans="2:2" s="112" customFormat="1" ht="12.75" hidden="1" x14ac:dyDescent="0.25">
      <c r="B201" s="114"/>
    </row>
    <row r="202" spans="2:2" s="112" customFormat="1" ht="12.75" hidden="1" x14ac:dyDescent="0.25">
      <c r="B202" s="114"/>
    </row>
    <row r="203" spans="2:2" s="112" customFormat="1" ht="12.75" hidden="1" x14ac:dyDescent="0.25">
      <c r="B203" s="114"/>
    </row>
    <row r="204" spans="2:2" s="112" customFormat="1" ht="12.75" hidden="1" x14ac:dyDescent="0.25">
      <c r="B204" s="114"/>
    </row>
    <row r="205" spans="2:2" s="112" customFormat="1" ht="12.75" hidden="1" x14ac:dyDescent="0.25">
      <c r="B205" s="114"/>
    </row>
    <row r="206" spans="2:2" s="112" customFormat="1" ht="12.75" hidden="1" x14ac:dyDescent="0.25">
      <c r="B206" s="114"/>
    </row>
    <row r="207" spans="2:2" s="112" customFormat="1" ht="12.75" hidden="1" x14ac:dyDescent="0.25">
      <c r="B207" s="114"/>
    </row>
    <row r="208" spans="2:2" s="112" customFormat="1" ht="12.75" hidden="1" x14ac:dyDescent="0.25">
      <c r="B208" s="114"/>
    </row>
    <row r="209" spans="2:2" s="112" customFormat="1" ht="12.75" hidden="1" x14ac:dyDescent="0.25">
      <c r="B209" s="114"/>
    </row>
    <row r="210" spans="2:2" s="112" customFormat="1" ht="12.75" hidden="1" x14ac:dyDescent="0.25">
      <c r="B210" s="114"/>
    </row>
    <row r="211" spans="2:2" s="112" customFormat="1" ht="12.75" hidden="1" x14ac:dyDescent="0.25">
      <c r="B211" s="114"/>
    </row>
    <row r="212" spans="2:2" s="112" customFormat="1" ht="12.75" hidden="1" x14ac:dyDescent="0.25">
      <c r="B212" s="114"/>
    </row>
    <row r="213" spans="2:2" s="112" customFormat="1" ht="12.75" hidden="1" x14ac:dyDescent="0.25">
      <c r="B213" s="114"/>
    </row>
    <row r="214" spans="2:2" s="112" customFormat="1" ht="12.75" hidden="1" x14ac:dyDescent="0.25">
      <c r="B214" s="114"/>
    </row>
    <row r="215" spans="2:2" s="112" customFormat="1" ht="12.75" hidden="1" x14ac:dyDescent="0.25">
      <c r="B215" s="114"/>
    </row>
    <row r="216" spans="2:2" s="112" customFormat="1" ht="12.75" hidden="1" x14ac:dyDescent="0.25">
      <c r="B216" s="114"/>
    </row>
    <row r="217" spans="2:2" s="112" customFormat="1" ht="12.75" hidden="1" x14ac:dyDescent="0.25">
      <c r="B217" s="114"/>
    </row>
    <row r="218" spans="2:2" s="112" customFormat="1" ht="12.75" hidden="1" x14ac:dyDescent="0.25">
      <c r="B218" s="114"/>
    </row>
    <row r="219" spans="2:2" s="112" customFormat="1" ht="12.75" hidden="1" x14ac:dyDescent="0.25">
      <c r="B219" s="114"/>
    </row>
    <row r="220" spans="2:2" s="112" customFormat="1" ht="12.75" hidden="1" x14ac:dyDescent="0.25">
      <c r="B220" s="114"/>
    </row>
    <row r="221" spans="2:2" s="112" customFormat="1" ht="12.75" hidden="1" x14ac:dyDescent="0.25">
      <c r="B221" s="114"/>
    </row>
    <row r="222" spans="2:2" s="112" customFormat="1" ht="12.75" hidden="1" x14ac:dyDescent="0.25">
      <c r="B222" s="114"/>
    </row>
    <row r="223" spans="2:2" s="112" customFormat="1" ht="12.75" hidden="1" x14ac:dyDescent="0.25">
      <c r="B223" s="114"/>
    </row>
    <row r="224" spans="2:2" s="112" customFormat="1" ht="12.75" hidden="1" x14ac:dyDescent="0.25">
      <c r="B224" s="114"/>
    </row>
    <row r="225" spans="2:2" s="112" customFormat="1" ht="12.75" hidden="1" x14ac:dyDescent="0.25">
      <c r="B225" s="114"/>
    </row>
    <row r="226" spans="2:2" s="112" customFormat="1" ht="12.75" hidden="1" x14ac:dyDescent="0.25">
      <c r="B226" s="114"/>
    </row>
    <row r="227" spans="2:2" s="112" customFormat="1" ht="12.75" hidden="1" x14ac:dyDescent="0.25">
      <c r="B227" s="114"/>
    </row>
    <row r="228" spans="2:2" s="112" customFormat="1" ht="12.75" hidden="1" x14ac:dyDescent="0.25">
      <c r="B228" s="114"/>
    </row>
    <row r="229" spans="2:2" s="112" customFormat="1" ht="12.75" hidden="1" x14ac:dyDescent="0.25">
      <c r="B229" s="114"/>
    </row>
    <row r="230" spans="2:2" s="112" customFormat="1" ht="12.75" hidden="1" x14ac:dyDescent="0.25">
      <c r="B230" s="114"/>
    </row>
    <row r="231" spans="2:2" s="112" customFormat="1" ht="12.75" hidden="1" x14ac:dyDescent="0.25">
      <c r="B231" s="114"/>
    </row>
    <row r="232" spans="2:2" s="112" customFormat="1" ht="12.75" hidden="1" x14ac:dyDescent="0.25">
      <c r="B232" s="114"/>
    </row>
    <row r="233" spans="2:2" s="112" customFormat="1" ht="12.75" hidden="1" x14ac:dyDescent="0.25">
      <c r="B233" s="114"/>
    </row>
    <row r="234" spans="2:2" s="112" customFormat="1" ht="12.75" hidden="1" x14ac:dyDescent="0.25">
      <c r="B234" s="114"/>
    </row>
    <row r="235" spans="2:2" s="112" customFormat="1" ht="12.75" hidden="1" x14ac:dyDescent="0.25">
      <c r="B235" s="114"/>
    </row>
    <row r="236" spans="2:2" s="112" customFormat="1" ht="12.75" hidden="1" x14ac:dyDescent="0.25">
      <c r="B236" s="114"/>
    </row>
    <row r="237" spans="2:2" s="112" customFormat="1" ht="12.75" hidden="1" x14ac:dyDescent="0.25">
      <c r="B237" s="114"/>
    </row>
    <row r="238" spans="2:2" s="112" customFormat="1" ht="12.75" hidden="1" x14ac:dyDescent="0.25">
      <c r="B238" s="114"/>
    </row>
    <row r="239" spans="2:2" s="112" customFormat="1" ht="12.75" hidden="1" x14ac:dyDescent="0.25">
      <c r="B239" s="114"/>
    </row>
    <row r="240" spans="2:2" s="112" customFormat="1" ht="12.75" hidden="1" x14ac:dyDescent="0.25">
      <c r="B240" s="114"/>
    </row>
    <row r="241" spans="2:2" s="112" customFormat="1" ht="12.75" hidden="1" x14ac:dyDescent="0.25">
      <c r="B241" s="114"/>
    </row>
    <row r="242" spans="2:2" s="112" customFormat="1" ht="12.75" hidden="1" x14ac:dyDescent="0.25">
      <c r="B242" s="114"/>
    </row>
    <row r="243" spans="2:2" s="112" customFormat="1" ht="12.75" hidden="1" x14ac:dyDescent="0.25">
      <c r="B243" s="114"/>
    </row>
    <row r="244" spans="2:2" s="112" customFormat="1" ht="12.75" hidden="1" x14ac:dyDescent="0.25">
      <c r="B244" s="114"/>
    </row>
    <row r="245" spans="2:2" s="112" customFormat="1" ht="12.75" hidden="1" x14ac:dyDescent="0.25">
      <c r="B245" s="114"/>
    </row>
    <row r="246" spans="2:2" s="112" customFormat="1" ht="12.75" hidden="1" x14ac:dyDescent="0.25">
      <c r="B246" s="114"/>
    </row>
    <row r="247" spans="2:2" s="112" customFormat="1" ht="12.75" hidden="1" x14ac:dyDescent="0.25">
      <c r="B247" s="114"/>
    </row>
    <row r="248" spans="2:2" s="112" customFormat="1" ht="12.75" hidden="1" x14ac:dyDescent="0.25">
      <c r="B248" s="114"/>
    </row>
    <row r="249" spans="2:2" s="112" customFormat="1" ht="12.75" hidden="1" x14ac:dyDescent="0.25">
      <c r="B249" s="114"/>
    </row>
    <row r="250" spans="2:2" s="112" customFormat="1" ht="12.75" hidden="1" x14ac:dyDescent="0.25">
      <c r="B250" s="114"/>
    </row>
    <row r="251" spans="2:2" s="112" customFormat="1" ht="12.75" hidden="1" x14ac:dyDescent="0.25">
      <c r="B251" s="114"/>
    </row>
    <row r="252" spans="2:2" s="112" customFormat="1" ht="12.75" hidden="1" x14ac:dyDescent="0.25">
      <c r="B252" s="114"/>
    </row>
    <row r="253" spans="2:2" s="112" customFormat="1" ht="12.75" hidden="1" x14ac:dyDescent="0.25">
      <c r="B253" s="114"/>
    </row>
    <row r="254" spans="2:2" s="112" customFormat="1" ht="12.75" hidden="1" x14ac:dyDescent="0.25">
      <c r="B254" s="114"/>
    </row>
    <row r="255" spans="2:2" s="112" customFormat="1" ht="12.75" hidden="1" x14ac:dyDescent="0.25">
      <c r="B255" s="114"/>
    </row>
    <row r="256" spans="2:2" s="112" customFormat="1" ht="12.75" hidden="1" x14ac:dyDescent="0.25">
      <c r="B256" s="114"/>
    </row>
    <row r="257" spans="2:2" s="112" customFormat="1" ht="12.75" hidden="1" x14ac:dyDescent="0.25">
      <c r="B257" s="114"/>
    </row>
    <row r="258" spans="2:2" s="112" customFormat="1" ht="12.75" hidden="1" x14ac:dyDescent="0.25">
      <c r="B258" s="114"/>
    </row>
    <row r="259" spans="2:2" s="112" customFormat="1" ht="12.75" hidden="1" x14ac:dyDescent="0.25">
      <c r="B259" s="114"/>
    </row>
    <row r="260" spans="2:2" s="112" customFormat="1" ht="12.75" hidden="1" x14ac:dyDescent="0.25">
      <c r="B260" s="114"/>
    </row>
    <row r="261" spans="2:2" s="112" customFormat="1" ht="12.75" hidden="1" x14ac:dyDescent="0.25">
      <c r="B261" s="114"/>
    </row>
    <row r="262" spans="2:2" s="112" customFormat="1" ht="12.75" hidden="1" x14ac:dyDescent="0.25">
      <c r="B262" s="114"/>
    </row>
    <row r="263" spans="2:2" s="112" customFormat="1" ht="12.75" hidden="1" x14ac:dyDescent="0.25">
      <c r="B263" s="114"/>
    </row>
    <row r="264" spans="2:2" s="112" customFormat="1" ht="12.75" hidden="1" x14ac:dyDescent="0.25">
      <c r="B264" s="114"/>
    </row>
    <row r="265" spans="2:2" s="112" customFormat="1" ht="12.75" hidden="1" x14ac:dyDescent="0.25">
      <c r="B265" s="114"/>
    </row>
    <row r="266" spans="2:2" s="112" customFormat="1" ht="12.75" hidden="1" x14ac:dyDescent="0.25">
      <c r="B266" s="114"/>
    </row>
    <row r="267" spans="2:2" s="112" customFormat="1" ht="12.75" hidden="1" x14ac:dyDescent="0.25">
      <c r="B267" s="114"/>
    </row>
    <row r="268" spans="2:2" s="112" customFormat="1" ht="12.75" hidden="1" x14ac:dyDescent="0.25">
      <c r="B268" s="114"/>
    </row>
    <row r="269" spans="2:2" s="112" customFormat="1" ht="12.75" hidden="1" x14ac:dyDescent="0.25">
      <c r="B269" s="114"/>
    </row>
    <row r="270" spans="2:2" s="112" customFormat="1" ht="12.75" hidden="1" x14ac:dyDescent="0.25">
      <c r="B270" s="114"/>
    </row>
    <row r="271" spans="2:2" s="112" customFormat="1" ht="12.75" hidden="1" x14ac:dyDescent="0.25">
      <c r="B271" s="114"/>
    </row>
    <row r="272" spans="2:2" s="112" customFormat="1" ht="12.75" hidden="1" x14ac:dyDescent="0.25">
      <c r="B272" s="114"/>
    </row>
    <row r="273" spans="2:2" s="112" customFormat="1" ht="12.75" hidden="1" x14ac:dyDescent="0.25">
      <c r="B273" s="114"/>
    </row>
    <row r="274" spans="2:2" s="112" customFormat="1" ht="12.75" hidden="1" x14ac:dyDescent="0.25">
      <c r="B274" s="114"/>
    </row>
    <row r="275" spans="2:2" s="112" customFormat="1" ht="12.75" hidden="1" x14ac:dyDescent="0.25">
      <c r="B275" s="114"/>
    </row>
    <row r="276" spans="2:2" s="112" customFormat="1" ht="12.75" hidden="1" x14ac:dyDescent="0.25">
      <c r="B276" s="114"/>
    </row>
    <row r="277" spans="2:2" s="112" customFormat="1" ht="12.75" hidden="1" x14ac:dyDescent="0.25">
      <c r="B277" s="114"/>
    </row>
    <row r="278" spans="2:2" s="112" customFormat="1" ht="12.75" hidden="1" x14ac:dyDescent="0.25">
      <c r="B278" s="114"/>
    </row>
    <row r="279" spans="2:2" s="112" customFormat="1" ht="12.75" hidden="1" x14ac:dyDescent="0.25">
      <c r="B279" s="114"/>
    </row>
    <row r="280" spans="2:2" s="112" customFormat="1" ht="12.75" hidden="1" x14ac:dyDescent="0.25"/>
    <row r="281" spans="2:2" s="112" customFormat="1" ht="12.75" hidden="1" x14ac:dyDescent="0.25"/>
    <row r="282" spans="2:2" s="112" customFormat="1" ht="12.75" hidden="1" x14ac:dyDescent="0.25"/>
    <row r="283" spans="2:2" s="112" customFormat="1" ht="12.75" hidden="1" x14ac:dyDescent="0.25"/>
    <row r="284" spans="2:2" s="112" customFormat="1" ht="12.75" hidden="1" x14ac:dyDescent="0.25"/>
    <row r="285" spans="2:2" s="112" customFormat="1" ht="12.75" hidden="1" x14ac:dyDescent="0.25"/>
    <row r="286" spans="2:2" s="112" customFormat="1" ht="12.75" hidden="1" x14ac:dyDescent="0.25"/>
    <row r="287" spans="2:2" s="112" customFormat="1" ht="12.75" hidden="1" x14ac:dyDescent="0.25"/>
    <row r="288" spans="2:2" s="112" customFormat="1" ht="12.75" hidden="1" x14ac:dyDescent="0.25"/>
    <row r="289" s="112" customFormat="1" ht="12.75" hidden="1" x14ac:dyDescent="0.25"/>
    <row r="290" s="112" customFormat="1" ht="12.75" hidden="1" x14ac:dyDescent="0.25"/>
    <row r="291" s="112" customFormat="1" ht="12.75" hidden="1" x14ac:dyDescent="0.25"/>
    <row r="292" s="112" customFormat="1" ht="12.75" hidden="1" x14ac:dyDescent="0.25"/>
    <row r="293" s="112" customFormat="1" ht="12.75" hidden="1" x14ac:dyDescent="0.25"/>
    <row r="294" s="112" customFormat="1" ht="12.75" hidden="1" x14ac:dyDescent="0.25"/>
    <row r="295" s="112" customFormat="1" ht="12.75" hidden="1" x14ac:dyDescent="0.25"/>
    <row r="296" s="112" customFormat="1" ht="12.75" hidden="1" x14ac:dyDescent="0.25"/>
    <row r="297" s="112" customFormat="1" ht="12.75" hidden="1" x14ac:dyDescent="0.25"/>
    <row r="298" s="112" customFormat="1" ht="12.75" hidden="1" x14ac:dyDescent="0.25"/>
    <row r="299" s="112" customFormat="1" ht="12.75" hidden="1" x14ac:dyDescent="0.25"/>
    <row r="300" s="112" customFormat="1" ht="12.75" hidden="1" x14ac:dyDescent="0.25"/>
    <row r="301" s="112" customFormat="1" ht="12.75" hidden="1" x14ac:dyDescent="0.25"/>
    <row r="302" s="112" customFormat="1" ht="12.75" hidden="1" x14ac:dyDescent="0.25"/>
    <row r="303" s="112" customFormat="1" ht="12.75" hidden="1" x14ac:dyDescent="0.25"/>
    <row r="304" s="112" customFormat="1" ht="12.75" hidden="1" x14ac:dyDescent="0.25"/>
    <row r="305" s="112" customFormat="1" ht="12.75" hidden="1" x14ac:dyDescent="0.25"/>
    <row r="306" s="112" customFormat="1" ht="12.75" hidden="1" x14ac:dyDescent="0.25"/>
    <row r="307" s="112" customFormat="1" ht="12.75" hidden="1" x14ac:dyDescent="0.25"/>
    <row r="308" s="112" customFormat="1" ht="12.75" hidden="1" x14ac:dyDescent="0.25"/>
    <row r="309" s="112" customFormat="1" ht="12.75" hidden="1" x14ac:dyDescent="0.25"/>
    <row r="310" s="112" customFormat="1" ht="12.75" hidden="1" x14ac:dyDescent="0.25"/>
    <row r="311" s="112" customFormat="1" ht="12.75" hidden="1" x14ac:dyDescent="0.25"/>
    <row r="312" s="112" customFormat="1" ht="12.75" hidden="1" x14ac:dyDescent="0.25"/>
    <row r="313" s="112" customFormat="1" ht="12.75" hidden="1" x14ac:dyDescent="0.25"/>
    <row r="314" s="112" customFormat="1" ht="12.75" hidden="1" x14ac:dyDescent="0.25"/>
    <row r="315" s="112" customFormat="1" ht="12.75" hidden="1" x14ac:dyDescent="0.25"/>
    <row r="316" s="112" customFormat="1" ht="12.75" hidden="1" x14ac:dyDescent="0.25"/>
    <row r="317" s="112" customFormat="1" ht="12.75" hidden="1" x14ac:dyDescent="0.25"/>
    <row r="318" s="112" customFormat="1" ht="12.75" hidden="1" x14ac:dyDescent="0.25"/>
    <row r="319" s="112" customFormat="1" ht="12.75" hidden="1" x14ac:dyDescent="0.25"/>
    <row r="320" s="112" customFormat="1" ht="12.75" hidden="1" x14ac:dyDescent="0.25"/>
    <row r="321" s="112" customFormat="1" ht="12.75" hidden="1" x14ac:dyDescent="0.25"/>
    <row r="322" s="112" customFormat="1" ht="12.75" hidden="1" x14ac:dyDescent="0.25"/>
    <row r="323" s="112" customFormat="1" ht="12.75" hidden="1" x14ac:dyDescent="0.25"/>
    <row r="324" s="112" customFormat="1" ht="12.75" hidden="1" x14ac:dyDescent="0.25"/>
    <row r="325" s="112" customFormat="1" ht="12.75" hidden="1" x14ac:dyDescent="0.25"/>
    <row r="326" s="112" customFormat="1" ht="12.75" hidden="1" x14ac:dyDescent="0.25"/>
    <row r="327" s="112" customFormat="1" ht="12.75" hidden="1" x14ac:dyDescent="0.25"/>
    <row r="328" s="112" customFormat="1" ht="12.75" hidden="1" x14ac:dyDescent="0.25"/>
    <row r="329" s="112" customFormat="1" ht="12.75" hidden="1" x14ac:dyDescent="0.25"/>
    <row r="330" s="112" customFormat="1" ht="12.75" hidden="1" x14ac:dyDescent="0.25"/>
    <row r="331" s="112" customFormat="1" ht="12.75" hidden="1" x14ac:dyDescent="0.25"/>
    <row r="332" s="112" customFormat="1" ht="12.75" hidden="1" x14ac:dyDescent="0.25"/>
    <row r="333" s="112" customFormat="1" ht="12.75" hidden="1" x14ac:dyDescent="0.25"/>
    <row r="334" s="112" customFormat="1" ht="12.75" hidden="1" x14ac:dyDescent="0.25"/>
    <row r="335" s="112" customFormat="1" ht="12.75" hidden="1" x14ac:dyDescent="0.25"/>
    <row r="336" s="112" customFormat="1" ht="12.75" hidden="1" x14ac:dyDescent="0.25"/>
    <row r="337" s="112" customFormat="1" ht="12.75" hidden="1" x14ac:dyDescent="0.25"/>
    <row r="338" s="112" customFormat="1" ht="12.75" hidden="1" x14ac:dyDescent="0.25"/>
    <row r="339" s="112" customFormat="1" ht="12.75" hidden="1" x14ac:dyDescent="0.25"/>
    <row r="340" s="112" customFormat="1" ht="12.75" hidden="1" x14ac:dyDescent="0.25"/>
    <row r="341" ht="12.75" hidden="1" x14ac:dyDescent="0.25"/>
    <row r="342" ht="12.75" hidden="1" x14ac:dyDescent="0.25"/>
    <row r="343" ht="12.75" hidden="1" x14ac:dyDescent="0.25"/>
    <row r="344" ht="12.75" hidden="1" x14ac:dyDescent="0.25"/>
    <row r="345" ht="12.75" hidden="1" x14ac:dyDescent="0.25"/>
    <row r="346" ht="12.75" hidden="1" x14ac:dyDescent="0.25"/>
    <row r="347" ht="12.75" hidden="1" x14ac:dyDescent="0.25"/>
    <row r="348" ht="12.75" hidden="1" x14ac:dyDescent="0.25"/>
    <row r="349" ht="12.75" hidden="1" x14ac:dyDescent="0.25"/>
    <row r="350" ht="12.75" hidden="1" x14ac:dyDescent="0.25"/>
    <row r="351" ht="12.75" hidden="1" x14ac:dyDescent="0.25"/>
    <row r="352" ht="12.75" hidden="1" x14ac:dyDescent="0.25"/>
    <row r="353" ht="12.75" hidden="1" x14ac:dyDescent="0.25"/>
    <row r="354" ht="12.75" hidden="1" x14ac:dyDescent="0.25"/>
    <row r="355" ht="12.75" hidden="1" x14ac:dyDescent="0.25"/>
    <row r="356" ht="12.75" hidden="1" x14ac:dyDescent="0.25"/>
    <row r="357" ht="12.75" hidden="1" x14ac:dyDescent="0.25"/>
    <row r="358" ht="12.75" hidden="1" x14ac:dyDescent="0.25"/>
    <row r="359" ht="12.75" hidden="1" x14ac:dyDescent="0.25"/>
    <row r="360" ht="12.75" hidden="1" x14ac:dyDescent="0.25"/>
    <row r="361" ht="12.75" hidden="1" x14ac:dyDescent="0.25"/>
    <row r="362" ht="12.75" hidden="1" x14ac:dyDescent="0.25"/>
    <row r="363" ht="12.75" hidden="1" x14ac:dyDescent="0.25"/>
    <row r="364" ht="12.75" hidden="1" x14ac:dyDescent="0.25"/>
    <row r="365" ht="12.75" hidden="1" x14ac:dyDescent="0.25"/>
    <row r="366" ht="12.75" hidden="1" x14ac:dyDescent="0.25"/>
    <row r="367" ht="12.75" hidden="1" x14ac:dyDescent="0.25"/>
    <row r="368" ht="12.75" hidden="1" x14ac:dyDescent="0.25"/>
    <row r="369" ht="12.75" hidden="1" x14ac:dyDescent="0.25"/>
    <row r="370" ht="12.75" hidden="1" x14ac:dyDescent="0.25"/>
    <row r="371" ht="12.75" hidden="1" x14ac:dyDescent="0.25"/>
    <row r="372" ht="12.75" hidden="1" x14ac:dyDescent="0.25"/>
    <row r="373" ht="12.75" hidden="1" x14ac:dyDescent="0.25"/>
    <row r="374" ht="12.75" hidden="1" x14ac:dyDescent="0.25"/>
    <row r="375" ht="12.75" hidden="1" x14ac:dyDescent="0.25"/>
    <row r="376" ht="12.75" hidden="1" x14ac:dyDescent="0.25"/>
    <row r="377" ht="12.75" hidden="1" x14ac:dyDescent="0.25"/>
    <row r="378" ht="12.75" hidden="1" x14ac:dyDescent="0.25"/>
    <row r="379" ht="12.75" hidden="1" x14ac:dyDescent="0.25"/>
    <row r="380" ht="12.75" hidden="1" x14ac:dyDescent="0.25"/>
    <row r="381" ht="12.75" hidden="1" x14ac:dyDescent="0.25"/>
    <row r="382" ht="12.75" hidden="1" x14ac:dyDescent="0.25"/>
    <row r="383" ht="12.75" hidden="1" x14ac:dyDescent="0.25"/>
    <row r="384" ht="12.75" hidden="1" x14ac:dyDescent="0.25"/>
    <row r="385" ht="12.75" hidden="1" x14ac:dyDescent="0.25"/>
    <row r="386" ht="12.75" hidden="1" x14ac:dyDescent="0.25"/>
    <row r="387" ht="12.75" hidden="1" x14ac:dyDescent="0.25"/>
    <row r="388" ht="12.75" hidden="1" x14ac:dyDescent="0.25"/>
    <row r="389" ht="12.75" hidden="1" x14ac:dyDescent="0.25"/>
    <row r="390" ht="12.75" hidden="1" x14ac:dyDescent="0.25"/>
    <row r="391" ht="12.75" hidden="1" x14ac:dyDescent="0.25"/>
    <row r="392" ht="12.75" hidden="1" x14ac:dyDescent="0.25"/>
    <row r="393" ht="12.75" hidden="1" x14ac:dyDescent="0.25"/>
    <row r="394" ht="12.75" hidden="1" x14ac:dyDescent="0.25"/>
    <row r="395" ht="12.75" hidden="1" x14ac:dyDescent="0.25"/>
    <row r="396" ht="12.75" hidden="1" x14ac:dyDescent="0.25"/>
    <row r="397" ht="12.75" hidden="1" x14ac:dyDescent="0.25"/>
    <row r="398" ht="12.75" hidden="1" x14ac:dyDescent="0.25"/>
    <row r="399" ht="12.75" hidden="1" x14ac:dyDescent="0.25"/>
    <row r="400" ht="12.75" hidden="1" x14ac:dyDescent="0.25"/>
    <row r="401" ht="12.75" hidden="1" x14ac:dyDescent="0.25"/>
    <row r="402" ht="12.75" hidden="1" x14ac:dyDescent="0.25"/>
    <row r="403" ht="12.75" hidden="1" x14ac:dyDescent="0.25"/>
    <row r="404" ht="12.75" hidden="1" x14ac:dyDescent="0.25"/>
    <row r="405" ht="12.75" hidden="1" x14ac:dyDescent="0.25"/>
    <row r="406" ht="12.75" hidden="1" x14ac:dyDescent="0.25"/>
    <row r="407" ht="12.75" hidden="1" x14ac:dyDescent="0.25"/>
    <row r="408" ht="12.75" hidden="1" x14ac:dyDescent="0.25"/>
    <row r="409" ht="12.75" hidden="1" x14ac:dyDescent="0.25"/>
    <row r="410" ht="12.75" hidden="1" x14ac:dyDescent="0.25"/>
    <row r="411" ht="12.75" hidden="1" x14ac:dyDescent="0.25"/>
    <row r="412" ht="12.75" hidden="1" x14ac:dyDescent="0.25"/>
    <row r="413" ht="12.75" hidden="1" x14ac:dyDescent="0.25"/>
    <row r="414" ht="12.75" hidden="1" x14ac:dyDescent="0.25"/>
    <row r="415" ht="12.75" hidden="1" x14ac:dyDescent="0.25"/>
    <row r="416" ht="12.75" hidden="1" x14ac:dyDescent="0.25"/>
  </sheetData>
  <sheetProtection algorithmName="SHA-512" hashValue="LJ++GT8gNHIDtasVo9EkZ1SnNYtV1hL+I67l7JFCW+fI/dkRdGe62oHb9+NxkDTKaPb/z8phKJ9Vom62LAgpJw==" saltValue="R4cm7ELuu8NOIKzGnDeGOQ==" spinCount="100000" sheet="1" scenarios="1"/>
  <mergeCells count="12">
    <mergeCell ref="A99:B99"/>
    <mergeCell ref="A96:B96"/>
    <mergeCell ref="A5:B5"/>
    <mergeCell ref="A14:B14"/>
    <mergeCell ref="A57:B57"/>
    <mergeCell ref="A10:B10"/>
    <mergeCell ref="A12:B12"/>
    <mergeCell ref="A1:B1"/>
    <mergeCell ref="A2:B2"/>
    <mergeCell ref="A3:B3"/>
    <mergeCell ref="A4:B4"/>
    <mergeCell ref="A82:B82"/>
  </mergeCells>
  <phoneticPr fontId="11" type="noConversion"/>
  <hyperlinks>
    <hyperlink ref="A96:B96" location="'IT 2023-24'!D3" tooltip="Go to Tax Calculation sheet" display="Click here to go to the tax calculation sheet" xr:uid="{00000000-0004-0000-0000-000000000000}"/>
  </hyperlinks>
  <printOptions horizontalCentered="1"/>
  <pageMargins left="0.25" right="0.25" top="0.75" bottom="0.75" header="0.3" footer="0.3"/>
  <pageSetup paperSize="9" scale="96" fitToHeight="0" pageOrder="overThenDown" orientation="portrait" r:id="rId1"/>
  <headerFooter>
    <oddFooter>&amp;C&amp;"Verdana,Bold"Page &amp;P of &amp;N</oddFooter>
  </headerFooter>
  <rowBreaks count="2" manualBreakCount="2">
    <brk id="56" max="1" man="1"/>
    <brk id="81" max="1" man="1"/>
  </rowBreaks>
  <extLst>
    <ext xmlns:x14="http://schemas.microsoft.com/office/spreadsheetml/2009/9/main" uri="{CCE6A557-97BC-4b89-ADB6-D9C93CAAB3DF}">
      <x14:dataValidations xmlns:xm="http://schemas.microsoft.com/office/excel/2006/main" count="1">
        <x14:dataValidation type="date" allowBlank="1" showInputMessage="1" showErrorMessage="1" errorTitle="Date Error" error="Please enter a valid date in dd-mmm-yyyy format" xr:uid="{00000000-0002-0000-0000-000000000000}">
          <x14:formula1>
            <xm:f>1</xm:f>
          </x14:formula1>
          <x14:formula2>
            <xm:f>Perquisites!P8</xm:f>
          </x14:formula2>
          <xm:sqref>B8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pageSetUpPr fitToPage="1"/>
  </sheetPr>
  <dimension ref="A1:AW107"/>
  <sheetViews>
    <sheetView showGridLines="0" zoomScaleNormal="100" workbookViewId="0">
      <pane xSplit="3" ySplit="2" topLeftCell="D3" activePane="bottomRight" state="frozen"/>
      <selection pane="topRight" activeCell="D1" sqref="D1"/>
      <selection pane="bottomLeft" activeCell="A3" sqref="A3"/>
      <selection pane="bottomRight" activeCell="D3" sqref="D3"/>
    </sheetView>
  </sheetViews>
  <sheetFormatPr defaultColWidth="0" defaultRowHeight="12.75" zeroHeight="1" x14ac:dyDescent="0.25"/>
  <cols>
    <col min="1" max="1" width="3.83203125" style="25" bestFit="1" customWidth="1"/>
    <col min="2" max="2" width="14.83203125" style="25" customWidth="1"/>
    <col min="3" max="3" width="8.83203125" style="28" customWidth="1"/>
    <col min="4" max="5" width="10.83203125" style="25" customWidth="1"/>
    <col min="6" max="7" width="12.83203125" style="25" customWidth="1"/>
    <col min="8" max="15" width="10.83203125" style="25" customWidth="1"/>
    <col min="16" max="16" width="12.83203125" style="25" customWidth="1"/>
    <col min="17" max="19" width="10.83203125" style="25" customWidth="1"/>
    <col min="20" max="20" width="12.83203125" style="25" customWidth="1"/>
    <col min="21" max="21" width="3" style="25" customWidth="1"/>
    <col min="22" max="27" width="9.33203125" style="25" customWidth="1"/>
    <col min="28" max="28" width="10.83203125" style="25" customWidth="1"/>
    <col min="29" max="29" width="1.83203125" style="25" customWidth="1"/>
    <col min="30" max="31" width="9.33203125" style="25" hidden="1"/>
    <col min="32" max="32" width="11.33203125" style="25" hidden="1"/>
    <col min="33" max="33" width="15.33203125" style="25" hidden="1"/>
    <col min="34" max="34" width="13" style="25" hidden="1"/>
    <col min="35" max="35" width="12.1640625" style="25" hidden="1"/>
    <col min="36" max="37" width="10.6640625" style="25" hidden="1"/>
    <col min="38" max="38" width="9.33203125" style="25" hidden="1"/>
    <col min="39" max="39" width="11.6640625" style="25" hidden="1"/>
    <col min="40" max="40" width="10.6640625" style="25" hidden="1"/>
    <col min="41" max="42" width="11" style="25" hidden="1"/>
    <col min="43" max="43" width="9.33203125" style="25" hidden="1"/>
    <col min="44" max="44" width="15.33203125" style="25" hidden="1"/>
    <col min="45" max="45" width="9.1640625" style="25" hidden="1"/>
    <col min="46" max="46" width="12" style="25" hidden="1"/>
    <col min="47" max="47" width="8" style="25" hidden="1"/>
    <col min="48" max="48" width="10.6640625" style="25" hidden="1"/>
    <col min="49" max="49" width="11.6640625" style="25" hidden="1"/>
    <col min="50" max="16384" width="9.33203125" style="25" hidden="1"/>
  </cols>
  <sheetData>
    <row r="1" spans="1:44" ht="30" customHeight="1" x14ac:dyDescent="0.25">
      <c r="A1" s="331" t="str">
        <f>Instructions!B7</f>
        <v>PLEASE ENTER YOUR NAME HERE</v>
      </c>
      <c r="B1" s="331"/>
      <c r="C1" s="331"/>
      <c r="D1" s="331"/>
      <c r="E1" s="331"/>
      <c r="F1" s="331"/>
      <c r="G1" s="331"/>
      <c r="H1" s="331"/>
      <c r="I1" s="331"/>
      <c r="J1" s="331"/>
      <c r="K1" s="331"/>
      <c r="L1" s="331"/>
      <c r="M1" s="331"/>
      <c r="N1" s="331"/>
      <c r="O1" s="331"/>
      <c r="P1" s="331"/>
      <c r="Q1" s="331"/>
      <c r="R1" s="331"/>
      <c r="S1" s="331"/>
      <c r="T1" s="331"/>
      <c r="U1" s="296"/>
    </row>
    <row r="2" spans="1:44" s="26" customFormat="1" x14ac:dyDescent="0.25">
      <c r="C2" s="163" t="s">
        <v>42</v>
      </c>
      <c r="D2" s="164" t="s">
        <v>21</v>
      </c>
      <c r="E2" s="164" t="s">
        <v>17</v>
      </c>
      <c r="F2" s="164" t="s">
        <v>22</v>
      </c>
      <c r="G2" s="164" t="s">
        <v>23</v>
      </c>
      <c r="H2" s="164" t="s">
        <v>24</v>
      </c>
      <c r="I2" s="164" t="s">
        <v>25</v>
      </c>
      <c r="J2" s="164" t="s">
        <v>26</v>
      </c>
      <c r="K2" s="164" t="s">
        <v>27</v>
      </c>
      <c r="L2" s="164" t="s">
        <v>28</v>
      </c>
      <c r="M2" s="164" t="s">
        <v>29</v>
      </c>
      <c r="N2" s="164" t="s">
        <v>30</v>
      </c>
      <c r="O2" s="164" t="s">
        <v>31</v>
      </c>
      <c r="P2" s="164" t="s">
        <v>8</v>
      </c>
      <c r="Q2" s="164" t="s">
        <v>18</v>
      </c>
      <c r="R2" s="164" t="s">
        <v>19</v>
      </c>
      <c r="S2" s="164" t="s">
        <v>75</v>
      </c>
      <c r="T2" s="164" t="s">
        <v>20</v>
      </c>
      <c r="U2" s="298"/>
    </row>
    <row r="3" spans="1:44" x14ac:dyDescent="0.25">
      <c r="A3" s="335" t="s">
        <v>15</v>
      </c>
      <c r="B3" s="164" t="s">
        <v>0</v>
      </c>
      <c r="C3" s="4" t="s">
        <v>32</v>
      </c>
      <c r="D3" s="228">
        <v>0</v>
      </c>
      <c r="E3" s="228">
        <v>0</v>
      </c>
      <c r="F3" s="228">
        <v>0</v>
      </c>
      <c r="G3" s="228">
        <v>0</v>
      </c>
      <c r="H3" s="228">
        <v>0</v>
      </c>
      <c r="I3" s="228">
        <v>0</v>
      </c>
      <c r="J3" s="228">
        <v>0</v>
      </c>
      <c r="K3" s="228">
        <v>0</v>
      </c>
      <c r="L3" s="228">
        <v>0</v>
      </c>
      <c r="M3" s="228">
        <v>0</v>
      </c>
      <c r="N3" s="228">
        <v>0</v>
      </c>
      <c r="O3" s="228">
        <v>0</v>
      </c>
      <c r="P3" s="229">
        <f t="shared" ref="P3:P26" si="0">SUM(D3:O3)</f>
        <v>0</v>
      </c>
      <c r="Q3" s="328"/>
      <c r="R3" s="329"/>
      <c r="S3" s="330"/>
      <c r="T3" s="229">
        <f t="shared" ref="T3:T27" si="1">SUM(P3:S3)</f>
        <v>0</v>
      </c>
      <c r="U3" s="299"/>
    </row>
    <row r="4" spans="1:44" x14ac:dyDescent="0.25">
      <c r="A4" s="335"/>
      <c r="B4" s="165" t="s">
        <v>1</v>
      </c>
      <c r="C4" s="206" t="s">
        <v>32</v>
      </c>
      <c r="D4" s="228">
        <v>0</v>
      </c>
      <c r="E4" s="228">
        <v>0</v>
      </c>
      <c r="F4" s="228">
        <v>0</v>
      </c>
      <c r="G4" s="228">
        <v>0</v>
      </c>
      <c r="H4" s="228">
        <v>0</v>
      </c>
      <c r="I4" s="228">
        <v>0</v>
      </c>
      <c r="J4" s="228">
        <v>0</v>
      </c>
      <c r="K4" s="228">
        <v>0</v>
      </c>
      <c r="L4" s="228">
        <v>0</v>
      </c>
      <c r="M4" s="228">
        <v>0</v>
      </c>
      <c r="N4" s="228">
        <v>0</v>
      </c>
      <c r="O4" s="228">
        <v>0</v>
      </c>
      <c r="P4" s="229">
        <f t="shared" si="0"/>
        <v>0</v>
      </c>
      <c r="Q4" s="328"/>
      <c r="R4" s="329"/>
      <c r="S4" s="330"/>
      <c r="T4" s="229">
        <f t="shared" si="1"/>
        <v>0</v>
      </c>
      <c r="U4" s="299"/>
    </row>
    <row r="5" spans="1:44" x14ac:dyDescent="0.25">
      <c r="A5" s="335"/>
      <c r="B5" s="165" t="s">
        <v>2</v>
      </c>
      <c r="C5" s="206" t="s">
        <v>33</v>
      </c>
      <c r="D5" s="228">
        <v>0</v>
      </c>
      <c r="E5" s="228">
        <v>0</v>
      </c>
      <c r="F5" s="228">
        <v>0</v>
      </c>
      <c r="G5" s="228">
        <v>0</v>
      </c>
      <c r="H5" s="228">
        <v>0</v>
      </c>
      <c r="I5" s="228">
        <v>0</v>
      </c>
      <c r="J5" s="228">
        <v>0</v>
      </c>
      <c r="K5" s="228">
        <v>0</v>
      </c>
      <c r="L5" s="228">
        <v>0</v>
      </c>
      <c r="M5" s="228">
        <v>0</v>
      </c>
      <c r="N5" s="228">
        <v>0</v>
      </c>
      <c r="O5" s="228">
        <v>0</v>
      </c>
      <c r="P5" s="229">
        <f t="shared" si="0"/>
        <v>0</v>
      </c>
      <c r="Q5" s="328"/>
      <c r="R5" s="329"/>
      <c r="S5" s="330"/>
      <c r="T5" s="229">
        <f t="shared" si="1"/>
        <v>0</v>
      </c>
      <c r="U5" s="299"/>
    </row>
    <row r="6" spans="1:44" x14ac:dyDescent="0.25">
      <c r="A6" s="335"/>
      <c r="B6" s="165" t="s">
        <v>3</v>
      </c>
      <c r="C6" s="206" t="s">
        <v>33</v>
      </c>
      <c r="D6" s="228">
        <v>0</v>
      </c>
      <c r="E6" s="228">
        <v>0</v>
      </c>
      <c r="F6" s="228">
        <v>0</v>
      </c>
      <c r="G6" s="228">
        <v>0</v>
      </c>
      <c r="H6" s="228">
        <v>0</v>
      </c>
      <c r="I6" s="228">
        <v>0</v>
      </c>
      <c r="J6" s="228">
        <v>0</v>
      </c>
      <c r="K6" s="228">
        <v>0</v>
      </c>
      <c r="L6" s="228">
        <v>0</v>
      </c>
      <c r="M6" s="228">
        <v>0</v>
      </c>
      <c r="N6" s="228">
        <v>0</v>
      </c>
      <c r="O6" s="228">
        <v>0</v>
      </c>
      <c r="P6" s="229">
        <f t="shared" si="0"/>
        <v>0</v>
      </c>
      <c r="Q6" s="328"/>
      <c r="R6" s="329"/>
      <c r="S6" s="330"/>
      <c r="T6" s="229">
        <f t="shared" si="1"/>
        <v>0</v>
      </c>
      <c r="U6" s="299"/>
      <c r="AF6" s="258"/>
    </row>
    <row r="7" spans="1:44" x14ac:dyDescent="0.25">
      <c r="A7" s="335"/>
      <c r="B7" s="165" t="s">
        <v>4</v>
      </c>
      <c r="C7" s="206" t="s">
        <v>33</v>
      </c>
      <c r="D7" s="228">
        <v>0</v>
      </c>
      <c r="E7" s="228">
        <v>0</v>
      </c>
      <c r="F7" s="228">
        <v>0</v>
      </c>
      <c r="G7" s="228">
        <v>0</v>
      </c>
      <c r="H7" s="228">
        <v>0</v>
      </c>
      <c r="I7" s="228">
        <v>0</v>
      </c>
      <c r="J7" s="228">
        <v>0</v>
      </c>
      <c r="K7" s="228">
        <v>0</v>
      </c>
      <c r="L7" s="228">
        <v>0</v>
      </c>
      <c r="M7" s="228">
        <v>0</v>
      </c>
      <c r="N7" s="228">
        <v>0</v>
      </c>
      <c r="O7" s="228">
        <v>0</v>
      </c>
      <c r="P7" s="229">
        <f t="shared" si="0"/>
        <v>0</v>
      </c>
      <c r="Q7" s="328"/>
      <c r="R7" s="329"/>
      <c r="S7" s="330"/>
      <c r="T7" s="229">
        <f t="shared" si="1"/>
        <v>0</v>
      </c>
      <c r="U7" s="299"/>
      <c r="AF7" s="258"/>
    </row>
    <row r="8" spans="1:44" x14ac:dyDescent="0.25">
      <c r="A8" s="335"/>
      <c r="B8" s="165" t="s">
        <v>5</v>
      </c>
      <c r="C8" s="206" t="s">
        <v>33</v>
      </c>
      <c r="D8" s="228">
        <v>0</v>
      </c>
      <c r="E8" s="228">
        <v>0</v>
      </c>
      <c r="F8" s="228">
        <v>0</v>
      </c>
      <c r="G8" s="228">
        <v>0</v>
      </c>
      <c r="H8" s="228">
        <v>0</v>
      </c>
      <c r="I8" s="228">
        <v>0</v>
      </c>
      <c r="J8" s="228">
        <v>0</v>
      </c>
      <c r="K8" s="228">
        <v>0</v>
      </c>
      <c r="L8" s="228">
        <v>0</v>
      </c>
      <c r="M8" s="228">
        <v>0</v>
      </c>
      <c r="N8" s="228">
        <v>0</v>
      </c>
      <c r="O8" s="228">
        <v>0</v>
      </c>
      <c r="P8" s="229">
        <f t="shared" si="0"/>
        <v>0</v>
      </c>
      <c r="Q8" s="328"/>
      <c r="R8" s="329"/>
      <c r="S8" s="330"/>
      <c r="T8" s="229">
        <f t="shared" si="1"/>
        <v>0</v>
      </c>
      <c r="U8" s="299"/>
    </row>
    <row r="9" spans="1:44" x14ac:dyDescent="0.25">
      <c r="A9" s="335"/>
      <c r="B9" s="165" t="s">
        <v>6</v>
      </c>
      <c r="C9" s="206" t="s">
        <v>33</v>
      </c>
      <c r="D9" s="228">
        <v>0</v>
      </c>
      <c r="E9" s="228">
        <v>0</v>
      </c>
      <c r="F9" s="228">
        <v>0</v>
      </c>
      <c r="G9" s="228">
        <v>0</v>
      </c>
      <c r="H9" s="228">
        <v>0</v>
      </c>
      <c r="I9" s="228">
        <v>0</v>
      </c>
      <c r="J9" s="228">
        <v>0</v>
      </c>
      <c r="K9" s="228">
        <v>0</v>
      </c>
      <c r="L9" s="228">
        <v>0</v>
      </c>
      <c r="M9" s="228">
        <v>0</v>
      </c>
      <c r="N9" s="228">
        <v>0</v>
      </c>
      <c r="O9" s="228">
        <v>0</v>
      </c>
      <c r="P9" s="229">
        <f t="shared" si="0"/>
        <v>0</v>
      </c>
      <c r="Q9" s="328"/>
      <c r="R9" s="329"/>
      <c r="S9" s="330"/>
      <c r="T9" s="229">
        <f t="shared" si="1"/>
        <v>0</v>
      </c>
      <c r="U9" s="299"/>
      <c r="AF9" s="280" t="s">
        <v>571</v>
      </c>
      <c r="AG9" s="275"/>
      <c r="AH9" s="275"/>
      <c r="AI9" s="275"/>
      <c r="AJ9" s="275"/>
      <c r="AK9" s="276"/>
      <c r="AM9" s="280" t="s">
        <v>567</v>
      </c>
      <c r="AN9" s="275"/>
      <c r="AO9" s="275"/>
      <c r="AP9" s="275"/>
      <c r="AQ9" s="275"/>
      <c r="AR9" s="276"/>
    </row>
    <row r="10" spans="1:44" x14ac:dyDescent="0.25">
      <c r="A10" s="335"/>
      <c r="B10" s="165" t="s">
        <v>234</v>
      </c>
      <c r="C10" s="206" t="s">
        <v>33</v>
      </c>
      <c r="D10" s="228">
        <v>0</v>
      </c>
      <c r="E10" s="228">
        <v>0</v>
      </c>
      <c r="F10" s="228">
        <v>0</v>
      </c>
      <c r="G10" s="228">
        <v>0</v>
      </c>
      <c r="H10" s="228">
        <v>0</v>
      </c>
      <c r="I10" s="228">
        <v>0</v>
      </c>
      <c r="J10" s="228">
        <v>0</v>
      </c>
      <c r="K10" s="228">
        <v>0</v>
      </c>
      <c r="L10" s="228">
        <v>0</v>
      </c>
      <c r="M10" s="228">
        <v>0</v>
      </c>
      <c r="N10" s="228">
        <v>0</v>
      </c>
      <c r="O10" s="228">
        <v>0</v>
      </c>
      <c r="P10" s="229">
        <f t="shared" si="0"/>
        <v>0</v>
      </c>
      <c r="Q10" s="328"/>
      <c r="R10" s="329"/>
      <c r="S10" s="330"/>
      <c r="T10" s="229">
        <f t="shared" si="1"/>
        <v>0</v>
      </c>
      <c r="U10" s="299"/>
      <c r="AF10" s="277" t="s">
        <v>462</v>
      </c>
      <c r="AG10" s="154" t="s">
        <v>568</v>
      </c>
      <c r="AH10" s="154" t="s">
        <v>569</v>
      </c>
      <c r="AI10" s="154" t="s">
        <v>463</v>
      </c>
      <c r="AJ10" s="154" t="s">
        <v>568</v>
      </c>
      <c r="AK10" s="278" t="s">
        <v>570</v>
      </c>
      <c r="AL10" s="154"/>
      <c r="AM10" s="277" t="s">
        <v>462</v>
      </c>
      <c r="AN10" s="154" t="s">
        <v>568</v>
      </c>
      <c r="AO10" s="154" t="s">
        <v>569</v>
      </c>
      <c r="AP10" s="154" t="s">
        <v>463</v>
      </c>
      <c r="AQ10" s="154" t="s">
        <v>568</v>
      </c>
      <c r="AR10" s="278" t="s">
        <v>570</v>
      </c>
    </row>
    <row r="11" spans="1:44" x14ac:dyDescent="0.25">
      <c r="A11" s="335"/>
      <c r="B11" s="165" t="s">
        <v>380</v>
      </c>
      <c r="C11" s="206" t="s">
        <v>33</v>
      </c>
      <c r="D11" s="228">
        <v>0</v>
      </c>
      <c r="E11" s="228">
        <v>0</v>
      </c>
      <c r="F11" s="228">
        <v>0</v>
      </c>
      <c r="G11" s="228">
        <v>0</v>
      </c>
      <c r="H11" s="228">
        <v>0</v>
      </c>
      <c r="I11" s="228">
        <v>0</v>
      </c>
      <c r="J11" s="228">
        <v>0</v>
      </c>
      <c r="K11" s="228">
        <v>0</v>
      </c>
      <c r="L11" s="228">
        <v>0</v>
      </c>
      <c r="M11" s="228">
        <v>0</v>
      </c>
      <c r="N11" s="228">
        <v>0</v>
      </c>
      <c r="O11" s="228">
        <v>0</v>
      </c>
      <c r="P11" s="229">
        <f t="shared" si="0"/>
        <v>0</v>
      </c>
      <c r="Q11" s="328"/>
      <c r="R11" s="329"/>
      <c r="S11" s="330"/>
      <c r="T11" s="229">
        <f t="shared" si="1"/>
        <v>0</v>
      </c>
      <c r="U11" s="299"/>
      <c r="AF11" s="281">
        <v>5000000</v>
      </c>
      <c r="AG11" s="255">
        <f ca="1">SUM($F$70:$F$74)*AI11</f>
        <v>0</v>
      </c>
      <c r="AH11" s="255">
        <f ca="1">70%*($AG$74-$AF11)+AK11</f>
        <v>-3500000</v>
      </c>
      <c r="AI11" s="283">
        <v>0.1</v>
      </c>
      <c r="AJ11" s="270">
        <f ca="1">MIN(AG11,AH11)</f>
        <v>-3500000</v>
      </c>
      <c r="AK11" s="306">
        <v>0</v>
      </c>
      <c r="AL11" s="283"/>
      <c r="AM11" s="281">
        <v>5000000</v>
      </c>
      <c r="AN11" s="270">
        <f ca="1">SUM($G$70:$G$74)*AP11</f>
        <v>0</v>
      </c>
      <c r="AO11" s="255">
        <f ca="1">70%*($AJ$74-$AM11)+AR11</f>
        <v>-3500000</v>
      </c>
      <c r="AP11" s="283">
        <v>0.1</v>
      </c>
      <c r="AQ11" s="270">
        <f ca="1">MIN(AN11,AO11)</f>
        <v>-3500000</v>
      </c>
      <c r="AR11" s="306">
        <v>0</v>
      </c>
    </row>
    <row r="12" spans="1:44" x14ac:dyDescent="0.25">
      <c r="A12" s="335"/>
      <c r="B12" s="166" t="s">
        <v>7</v>
      </c>
      <c r="C12" s="206" t="s">
        <v>33</v>
      </c>
      <c r="D12" s="228">
        <v>0</v>
      </c>
      <c r="E12" s="228">
        <v>0</v>
      </c>
      <c r="F12" s="228">
        <v>0</v>
      </c>
      <c r="G12" s="228">
        <v>0</v>
      </c>
      <c r="H12" s="228">
        <v>0</v>
      </c>
      <c r="I12" s="228">
        <v>0</v>
      </c>
      <c r="J12" s="228">
        <v>0</v>
      </c>
      <c r="K12" s="228">
        <v>0</v>
      </c>
      <c r="L12" s="228">
        <v>0</v>
      </c>
      <c r="M12" s="228">
        <v>0</v>
      </c>
      <c r="N12" s="228">
        <v>0</v>
      </c>
      <c r="O12" s="228">
        <v>0</v>
      </c>
      <c r="P12" s="229">
        <f t="shared" si="0"/>
        <v>0</v>
      </c>
      <c r="Q12" s="328"/>
      <c r="R12" s="329"/>
      <c r="S12" s="330"/>
      <c r="T12" s="229">
        <f t="shared" si="1"/>
        <v>0</v>
      </c>
      <c r="U12" s="299"/>
      <c r="AF12" s="281">
        <v>10000000</v>
      </c>
      <c r="AG12" s="255">
        <f ca="1">SUM($F$70:$F$74)*AI12</f>
        <v>0</v>
      </c>
      <c r="AH12" s="255">
        <f ca="1">70%*($AG$74-$AF12)+AK12</f>
        <v>-6718750</v>
      </c>
      <c r="AI12" s="283">
        <v>0.15</v>
      </c>
      <c r="AJ12" s="270">
        <f ca="1">MIN(AG12,AH12)</f>
        <v>-6718750</v>
      </c>
      <c r="AK12" s="306">
        <v>281250</v>
      </c>
      <c r="AL12" s="283"/>
      <c r="AM12" s="281">
        <v>10000000</v>
      </c>
      <c r="AN12" s="270">
        <f ca="1">SUM($G$70:$G$74)*AP12</f>
        <v>0</v>
      </c>
      <c r="AO12" s="255">
        <f ca="1">70%*($AJ$74-$AM12)+AR12</f>
        <v>-6730000</v>
      </c>
      <c r="AP12" s="283">
        <v>0.15</v>
      </c>
      <c r="AQ12" s="270">
        <f ca="1">MIN(AN12,AO12)</f>
        <v>-6730000</v>
      </c>
      <c r="AR12" s="306">
        <v>270000</v>
      </c>
    </row>
    <row r="13" spans="1:44" x14ac:dyDescent="0.25">
      <c r="A13" s="335"/>
      <c r="B13" s="166" t="s">
        <v>7</v>
      </c>
      <c r="C13" s="207" t="s">
        <v>33</v>
      </c>
      <c r="D13" s="228">
        <v>0</v>
      </c>
      <c r="E13" s="228">
        <v>0</v>
      </c>
      <c r="F13" s="228">
        <v>0</v>
      </c>
      <c r="G13" s="228">
        <v>0</v>
      </c>
      <c r="H13" s="228">
        <v>0</v>
      </c>
      <c r="I13" s="228">
        <v>0</v>
      </c>
      <c r="J13" s="228">
        <v>0</v>
      </c>
      <c r="K13" s="228">
        <v>0</v>
      </c>
      <c r="L13" s="228">
        <v>0</v>
      </c>
      <c r="M13" s="228">
        <v>0</v>
      </c>
      <c r="N13" s="228">
        <v>0</v>
      </c>
      <c r="O13" s="228">
        <v>0</v>
      </c>
      <c r="P13" s="229">
        <f t="shared" si="0"/>
        <v>0</v>
      </c>
      <c r="Q13" s="328"/>
      <c r="R13" s="329"/>
      <c r="S13" s="330"/>
      <c r="T13" s="229">
        <f t="shared" si="1"/>
        <v>0</v>
      </c>
      <c r="U13" s="299"/>
      <c r="AF13" s="281">
        <v>20000000</v>
      </c>
      <c r="AG13" s="255">
        <f ca="1">($F$70+$F$72+$F$74)*AI13+($F$71+$F$73)*15%</f>
        <v>0</v>
      </c>
      <c r="AH13" s="255">
        <f ca="1">70%*($AG$74-$AF13)+AK13</f>
        <v>-13128125</v>
      </c>
      <c r="AI13" s="283">
        <v>0.25</v>
      </c>
      <c r="AJ13" s="270">
        <f ca="1">MIN(AG13,AH13)</f>
        <v>-13128125</v>
      </c>
      <c r="AK13" s="306">
        <v>871875</v>
      </c>
      <c r="AL13" s="283"/>
      <c r="AM13" s="281">
        <v>20000000</v>
      </c>
      <c r="AN13" s="255">
        <f ca="1">($G$70+$G$72+$G$74)*AP13+($G$71+$G$73)*15%</f>
        <v>0</v>
      </c>
      <c r="AO13" s="255">
        <f ca="1">70%*($AJ$74-$AM13)+AR13</f>
        <v>-13145000</v>
      </c>
      <c r="AP13" s="283">
        <v>0.25</v>
      </c>
      <c r="AQ13" s="270">
        <f ca="1">MIN(AN13,AO13)</f>
        <v>-13145000</v>
      </c>
      <c r="AR13" s="306">
        <v>855000</v>
      </c>
    </row>
    <row r="14" spans="1:44" x14ac:dyDescent="0.25">
      <c r="A14" s="335"/>
      <c r="B14" s="166" t="s">
        <v>7</v>
      </c>
      <c r="C14" s="207" t="s">
        <v>33</v>
      </c>
      <c r="D14" s="228">
        <v>0</v>
      </c>
      <c r="E14" s="228">
        <v>0</v>
      </c>
      <c r="F14" s="228">
        <v>0</v>
      </c>
      <c r="G14" s="228">
        <v>0</v>
      </c>
      <c r="H14" s="228">
        <v>0</v>
      </c>
      <c r="I14" s="228">
        <v>0</v>
      </c>
      <c r="J14" s="228">
        <v>0</v>
      </c>
      <c r="K14" s="228">
        <v>0</v>
      </c>
      <c r="L14" s="228">
        <v>0</v>
      </c>
      <c r="M14" s="228">
        <v>0</v>
      </c>
      <c r="N14" s="228">
        <v>0</v>
      </c>
      <c r="O14" s="228">
        <v>0</v>
      </c>
      <c r="P14" s="229">
        <f t="shared" si="0"/>
        <v>0</v>
      </c>
      <c r="Q14" s="328"/>
      <c r="R14" s="329"/>
      <c r="S14" s="330"/>
      <c r="T14" s="229">
        <f t="shared" si="1"/>
        <v>0</v>
      </c>
      <c r="U14" s="299"/>
      <c r="AF14" s="282">
        <v>50000000</v>
      </c>
      <c r="AG14" s="279">
        <f ca="1">($F$70+$F$72+$F$74)*AI14+($F$71+$F$73)*15%</f>
        <v>0</v>
      </c>
      <c r="AH14" s="279">
        <f ca="1">70%*($AG$74-$AF14)+AK14</f>
        <v>-31296875</v>
      </c>
      <c r="AI14" s="284">
        <v>0.37</v>
      </c>
      <c r="AJ14" s="292">
        <f ca="1">MIN(AG14,AH14)</f>
        <v>-31296875</v>
      </c>
      <c r="AK14" s="307">
        <v>3703125</v>
      </c>
      <c r="AL14" s="283"/>
      <c r="AM14" s="282"/>
      <c r="AN14" s="279"/>
      <c r="AO14" s="279"/>
      <c r="AP14" s="284"/>
      <c r="AQ14" s="292"/>
      <c r="AR14" s="307"/>
    </row>
    <row r="15" spans="1:44" x14ac:dyDescent="0.25">
      <c r="A15" s="335"/>
      <c r="B15" s="166" t="s">
        <v>7</v>
      </c>
      <c r="C15" s="207" t="s">
        <v>33</v>
      </c>
      <c r="D15" s="228">
        <v>0</v>
      </c>
      <c r="E15" s="228">
        <v>0</v>
      </c>
      <c r="F15" s="228">
        <v>0</v>
      </c>
      <c r="G15" s="228">
        <v>0</v>
      </c>
      <c r="H15" s="228">
        <v>0</v>
      </c>
      <c r="I15" s="228">
        <v>0</v>
      </c>
      <c r="J15" s="228">
        <v>0</v>
      </c>
      <c r="K15" s="228">
        <v>0</v>
      </c>
      <c r="L15" s="228">
        <v>0</v>
      </c>
      <c r="M15" s="228">
        <v>0</v>
      </c>
      <c r="N15" s="228">
        <v>0</v>
      </c>
      <c r="O15" s="228">
        <v>0</v>
      </c>
      <c r="P15" s="229">
        <f t="shared" si="0"/>
        <v>0</v>
      </c>
      <c r="Q15" s="328"/>
      <c r="R15" s="329"/>
      <c r="S15" s="330"/>
      <c r="T15" s="229">
        <f t="shared" si="1"/>
        <v>0</v>
      </c>
      <c r="U15" s="299"/>
    </row>
    <row r="16" spans="1:44" x14ac:dyDescent="0.25">
      <c r="A16" s="335"/>
      <c r="B16" s="166" t="s">
        <v>7</v>
      </c>
      <c r="C16" s="207" t="s">
        <v>33</v>
      </c>
      <c r="D16" s="228">
        <v>0</v>
      </c>
      <c r="E16" s="228">
        <v>0</v>
      </c>
      <c r="F16" s="228">
        <v>0</v>
      </c>
      <c r="G16" s="228">
        <v>0</v>
      </c>
      <c r="H16" s="228">
        <v>0</v>
      </c>
      <c r="I16" s="228">
        <v>0</v>
      </c>
      <c r="J16" s="228">
        <v>0</v>
      </c>
      <c r="K16" s="228">
        <v>0</v>
      </c>
      <c r="L16" s="228">
        <v>0</v>
      </c>
      <c r="M16" s="228">
        <v>0</v>
      </c>
      <c r="N16" s="228">
        <v>0</v>
      </c>
      <c r="O16" s="228">
        <v>0</v>
      </c>
      <c r="P16" s="229">
        <f t="shared" si="0"/>
        <v>0</v>
      </c>
      <c r="Q16" s="328"/>
      <c r="R16" s="329"/>
      <c r="S16" s="330"/>
      <c r="T16" s="229">
        <f t="shared" si="1"/>
        <v>0</v>
      </c>
      <c r="U16" s="299"/>
      <c r="AL16" s="255">
        <f>F67</f>
        <v>0</v>
      </c>
    </row>
    <row r="17" spans="1:41" x14ac:dyDescent="0.25">
      <c r="A17" s="335"/>
      <c r="B17" s="166" t="s">
        <v>7</v>
      </c>
      <c r="C17" s="207" t="s">
        <v>33</v>
      </c>
      <c r="D17" s="228">
        <v>0</v>
      </c>
      <c r="E17" s="228">
        <v>0</v>
      </c>
      <c r="F17" s="228">
        <v>0</v>
      </c>
      <c r="G17" s="228">
        <v>0</v>
      </c>
      <c r="H17" s="228">
        <v>0</v>
      </c>
      <c r="I17" s="228">
        <v>0</v>
      </c>
      <c r="J17" s="228">
        <v>0</v>
      </c>
      <c r="K17" s="228">
        <v>0</v>
      </c>
      <c r="L17" s="228">
        <v>0</v>
      </c>
      <c r="M17" s="228">
        <v>0</v>
      </c>
      <c r="N17" s="228">
        <v>0</v>
      </c>
      <c r="O17" s="228">
        <v>0</v>
      </c>
      <c r="P17" s="229">
        <f t="shared" si="0"/>
        <v>0</v>
      </c>
      <c r="Q17" s="328"/>
      <c r="R17" s="329"/>
      <c r="S17" s="330"/>
      <c r="T17" s="229">
        <f t="shared" si="1"/>
        <v>0</v>
      </c>
      <c r="U17" s="299"/>
      <c r="AF17" s="280" t="s">
        <v>468</v>
      </c>
      <c r="AG17" s="287"/>
      <c r="AH17" s="276"/>
      <c r="AL17" s="8" t="s">
        <v>54</v>
      </c>
      <c r="AM17" s="249" t="s">
        <v>55</v>
      </c>
      <c r="AN17" s="250" t="s">
        <v>56</v>
      </c>
      <c r="AO17" s="250" t="s">
        <v>481</v>
      </c>
    </row>
    <row r="18" spans="1:41" x14ac:dyDescent="0.25">
      <c r="A18" s="335"/>
      <c r="B18" s="166" t="s">
        <v>7</v>
      </c>
      <c r="C18" s="207" t="s">
        <v>33</v>
      </c>
      <c r="D18" s="228">
        <v>0</v>
      </c>
      <c r="E18" s="228">
        <v>0</v>
      </c>
      <c r="F18" s="228">
        <v>0</v>
      </c>
      <c r="G18" s="228">
        <v>0</v>
      </c>
      <c r="H18" s="228">
        <v>0</v>
      </c>
      <c r="I18" s="228">
        <v>0</v>
      </c>
      <c r="J18" s="228">
        <v>0</v>
      </c>
      <c r="K18" s="228">
        <v>0</v>
      </c>
      <c r="L18" s="228">
        <v>0</v>
      </c>
      <c r="M18" s="228">
        <v>0</v>
      </c>
      <c r="N18" s="228">
        <v>0</v>
      </c>
      <c r="O18" s="228">
        <v>0</v>
      </c>
      <c r="P18" s="229">
        <f t="shared" si="0"/>
        <v>0</v>
      </c>
      <c r="Q18" s="328"/>
      <c r="R18" s="329"/>
      <c r="S18" s="330"/>
      <c r="T18" s="229">
        <f t="shared" si="1"/>
        <v>0</v>
      </c>
      <c r="U18" s="299"/>
      <c r="AF18" s="285">
        <v>0</v>
      </c>
      <c r="AG18" s="255">
        <f>IF(AG62="Y",500000,IF(AG61="Y",300000,250000))</f>
        <v>250000</v>
      </c>
      <c r="AH18" s="288">
        <v>0</v>
      </c>
      <c r="AI18" s="255">
        <f>AG18-AF18</f>
        <v>250000</v>
      </c>
      <c r="AJ18" s="255"/>
      <c r="AK18" s="255"/>
      <c r="AL18" s="255">
        <f>MIN(AL16,AI18)</f>
        <v>0</v>
      </c>
      <c r="AM18" s="255">
        <f>AL16-AL18</f>
        <v>0</v>
      </c>
      <c r="AN18" s="255">
        <f>AL18*AH18</f>
        <v>0</v>
      </c>
    </row>
    <row r="19" spans="1:41" x14ac:dyDescent="0.25">
      <c r="A19" s="335"/>
      <c r="B19" s="166" t="s">
        <v>7</v>
      </c>
      <c r="C19" s="207" t="s">
        <v>33</v>
      </c>
      <c r="D19" s="228">
        <v>0</v>
      </c>
      <c r="E19" s="228">
        <v>0</v>
      </c>
      <c r="F19" s="228">
        <v>0</v>
      </c>
      <c r="G19" s="228">
        <v>0</v>
      </c>
      <c r="H19" s="228">
        <v>0</v>
      </c>
      <c r="I19" s="228">
        <v>0</v>
      </c>
      <c r="J19" s="228">
        <v>0</v>
      </c>
      <c r="K19" s="228">
        <v>0</v>
      </c>
      <c r="L19" s="228">
        <v>0</v>
      </c>
      <c r="M19" s="228">
        <v>0</v>
      </c>
      <c r="N19" s="228">
        <v>0</v>
      </c>
      <c r="O19" s="228">
        <v>0</v>
      </c>
      <c r="P19" s="229">
        <f t="shared" si="0"/>
        <v>0</v>
      </c>
      <c r="Q19" s="328"/>
      <c r="R19" s="329"/>
      <c r="S19" s="330"/>
      <c r="T19" s="229">
        <f t="shared" si="1"/>
        <v>0</v>
      </c>
      <c r="U19" s="299"/>
      <c r="AF19" s="285">
        <f>IF(AG62="Y",0,IF(AG61="Y",300001,250001))</f>
        <v>250001</v>
      </c>
      <c r="AG19" s="255">
        <f>IF(AG62="Y",0,500000)</f>
        <v>500000</v>
      </c>
      <c r="AH19" s="288">
        <v>0.05</v>
      </c>
      <c r="AI19" s="255">
        <f>IF(AG62="Y",0,AG19-AF19+1)</f>
        <v>250000</v>
      </c>
      <c r="AJ19" s="255"/>
      <c r="AK19" s="255"/>
      <c r="AL19" s="255">
        <f>MIN(AM18,AI19)</f>
        <v>0</v>
      </c>
      <c r="AM19" s="255">
        <f>AM18-AL19</f>
        <v>0</v>
      </c>
      <c r="AN19" s="255">
        <f>AL19*AH19</f>
        <v>0</v>
      </c>
    </row>
    <row r="20" spans="1:41" x14ac:dyDescent="0.25">
      <c r="A20" s="335"/>
      <c r="B20" s="166" t="s">
        <v>7</v>
      </c>
      <c r="C20" s="207" t="s">
        <v>33</v>
      </c>
      <c r="D20" s="228">
        <v>0</v>
      </c>
      <c r="E20" s="228">
        <v>0</v>
      </c>
      <c r="F20" s="228">
        <v>0</v>
      </c>
      <c r="G20" s="228">
        <v>0</v>
      </c>
      <c r="H20" s="228">
        <v>0</v>
      </c>
      <c r="I20" s="228">
        <v>0</v>
      </c>
      <c r="J20" s="228">
        <v>0</v>
      </c>
      <c r="K20" s="228">
        <v>0</v>
      </c>
      <c r="L20" s="228">
        <v>0</v>
      </c>
      <c r="M20" s="228">
        <v>0</v>
      </c>
      <c r="N20" s="228">
        <v>0</v>
      </c>
      <c r="O20" s="228">
        <v>0</v>
      </c>
      <c r="P20" s="229">
        <f t="shared" si="0"/>
        <v>0</v>
      </c>
      <c r="Q20" s="328"/>
      <c r="R20" s="329"/>
      <c r="S20" s="330"/>
      <c r="T20" s="229">
        <f t="shared" si="1"/>
        <v>0</v>
      </c>
      <c r="U20" s="299"/>
      <c r="AF20" s="285">
        <v>500001</v>
      </c>
      <c r="AG20" s="255">
        <v>1000000</v>
      </c>
      <c r="AH20" s="288">
        <v>0.2</v>
      </c>
      <c r="AI20" s="255">
        <f>AG20-AF20+1</f>
        <v>500000</v>
      </c>
      <c r="AJ20" s="255"/>
      <c r="AK20" s="255"/>
      <c r="AL20" s="255">
        <f>MIN(AM19,AI20)</f>
        <v>0</v>
      </c>
      <c r="AM20" s="255">
        <f>AM19-AL20</f>
        <v>0</v>
      </c>
      <c r="AN20" s="255">
        <f>AL20*AH20</f>
        <v>0</v>
      </c>
    </row>
    <row r="21" spans="1:41" x14ac:dyDescent="0.25">
      <c r="A21" s="335"/>
      <c r="B21" s="167" t="s">
        <v>8</v>
      </c>
      <c r="C21" s="27"/>
      <c r="D21" s="230">
        <f t="shared" ref="D21:O21" si="2">SUM(D3:D20)</f>
        <v>0</v>
      </c>
      <c r="E21" s="230">
        <f t="shared" si="2"/>
        <v>0</v>
      </c>
      <c r="F21" s="230">
        <f t="shared" si="2"/>
        <v>0</v>
      </c>
      <c r="G21" s="230">
        <f t="shared" si="2"/>
        <v>0</v>
      </c>
      <c r="H21" s="230">
        <f t="shared" si="2"/>
        <v>0</v>
      </c>
      <c r="I21" s="230">
        <f t="shared" si="2"/>
        <v>0</v>
      </c>
      <c r="J21" s="230">
        <f t="shared" si="2"/>
        <v>0</v>
      </c>
      <c r="K21" s="230">
        <f t="shared" si="2"/>
        <v>0</v>
      </c>
      <c r="L21" s="230">
        <f t="shared" si="2"/>
        <v>0</v>
      </c>
      <c r="M21" s="230">
        <f t="shared" si="2"/>
        <v>0</v>
      </c>
      <c r="N21" s="230">
        <f t="shared" si="2"/>
        <v>0</v>
      </c>
      <c r="O21" s="230">
        <f t="shared" si="2"/>
        <v>0</v>
      </c>
      <c r="P21" s="229">
        <f t="shared" si="0"/>
        <v>0</v>
      </c>
      <c r="Q21" s="231">
        <f>MAX(Perquisites!K56+MAX((P41-P102),0),0)</f>
        <v>0</v>
      </c>
      <c r="R21" s="228">
        <v>0</v>
      </c>
      <c r="S21" s="228">
        <v>0</v>
      </c>
      <c r="T21" s="229">
        <f t="shared" si="1"/>
        <v>0</v>
      </c>
      <c r="U21" s="299"/>
      <c r="AF21" s="286">
        <v>1000001</v>
      </c>
      <c r="AG21" s="279">
        <v>10000000000</v>
      </c>
      <c r="AH21" s="289">
        <v>0.3</v>
      </c>
      <c r="AI21" s="290">
        <f>AG21-AF21+1</f>
        <v>9999000000</v>
      </c>
      <c r="AJ21" s="290"/>
      <c r="AK21" s="290"/>
      <c r="AL21" s="255">
        <f>AM20</f>
        <v>0</v>
      </c>
      <c r="AM21" s="255"/>
      <c r="AN21" s="255">
        <f>AL21*AH21</f>
        <v>0</v>
      </c>
    </row>
    <row r="22" spans="1:41" ht="13.5" thickBot="1" x14ac:dyDescent="0.3">
      <c r="A22" s="335" t="s">
        <v>16</v>
      </c>
      <c r="B22" s="167" t="s">
        <v>176</v>
      </c>
      <c r="C22" s="27"/>
      <c r="D22" s="228">
        <v>0</v>
      </c>
      <c r="E22" s="228">
        <v>0</v>
      </c>
      <c r="F22" s="228">
        <v>0</v>
      </c>
      <c r="G22" s="228">
        <v>0</v>
      </c>
      <c r="H22" s="228">
        <v>0</v>
      </c>
      <c r="I22" s="228">
        <v>0</v>
      </c>
      <c r="J22" s="228">
        <v>0</v>
      </c>
      <c r="K22" s="228">
        <v>0</v>
      </c>
      <c r="L22" s="228">
        <v>0</v>
      </c>
      <c r="M22" s="228">
        <v>0</v>
      </c>
      <c r="N22" s="228">
        <v>0</v>
      </c>
      <c r="O22" s="228">
        <v>0</v>
      </c>
      <c r="P22" s="229">
        <f t="shared" si="0"/>
        <v>0</v>
      </c>
      <c r="Q22" s="328"/>
      <c r="R22" s="329"/>
      <c r="S22" s="330"/>
      <c r="T22" s="229">
        <f t="shared" si="1"/>
        <v>0</v>
      </c>
      <c r="U22" s="299"/>
      <c r="AL22" s="255"/>
      <c r="AM22" s="255"/>
      <c r="AN22" s="291">
        <f>SUM(AN18:AN21)</f>
        <v>0</v>
      </c>
      <c r="AO22" s="255">
        <f>MIN(IF(AL16&lt;=500000,12500,0),AN19)</f>
        <v>0</v>
      </c>
    </row>
    <row r="23" spans="1:41" ht="13.5" thickTop="1" x14ac:dyDescent="0.25">
      <c r="A23" s="335"/>
      <c r="B23" s="167" t="s">
        <v>9</v>
      </c>
      <c r="C23" s="27"/>
      <c r="D23" s="232">
        <f t="shared" ref="D23:O23" si="3">MIN(D99*D48,$AF$51)</f>
        <v>0</v>
      </c>
      <c r="E23" s="232">
        <f t="shared" si="3"/>
        <v>0</v>
      </c>
      <c r="F23" s="232">
        <f t="shared" si="3"/>
        <v>0</v>
      </c>
      <c r="G23" s="232">
        <f t="shared" si="3"/>
        <v>0</v>
      </c>
      <c r="H23" s="232">
        <f t="shared" si="3"/>
        <v>0</v>
      </c>
      <c r="I23" s="232">
        <f t="shared" si="3"/>
        <v>0</v>
      </c>
      <c r="J23" s="232">
        <f t="shared" si="3"/>
        <v>0</v>
      </c>
      <c r="K23" s="232">
        <f t="shared" si="3"/>
        <v>0</v>
      </c>
      <c r="L23" s="232">
        <f t="shared" si="3"/>
        <v>0</v>
      </c>
      <c r="M23" s="232">
        <f t="shared" si="3"/>
        <v>0</v>
      </c>
      <c r="N23" s="232">
        <f t="shared" si="3"/>
        <v>0</v>
      </c>
      <c r="O23" s="232">
        <f t="shared" si="3"/>
        <v>0</v>
      </c>
      <c r="P23" s="229">
        <f t="shared" si="0"/>
        <v>0</v>
      </c>
      <c r="Q23" s="233"/>
      <c r="R23" s="228">
        <v>0</v>
      </c>
      <c r="S23" s="232"/>
      <c r="T23" s="229">
        <f t="shared" si="1"/>
        <v>0</v>
      </c>
      <c r="U23" s="299"/>
      <c r="AL23" s="255">
        <f>G67</f>
        <v>0</v>
      </c>
      <c r="AM23" s="255"/>
      <c r="AN23" s="255"/>
    </row>
    <row r="24" spans="1:41" x14ac:dyDescent="0.25">
      <c r="A24" s="335"/>
      <c r="B24" s="167" t="s">
        <v>10</v>
      </c>
      <c r="C24" s="27"/>
      <c r="D24" s="232">
        <f t="shared" ref="D24:O24" si="4">IF($AB$58="P",D99*D98,D43)</f>
        <v>0</v>
      </c>
      <c r="E24" s="232">
        <f t="shared" si="4"/>
        <v>0</v>
      </c>
      <c r="F24" s="232">
        <f t="shared" si="4"/>
        <v>0</v>
      </c>
      <c r="G24" s="232">
        <f t="shared" si="4"/>
        <v>0</v>
      </c>
      <c r="H24" s="232">
        <f t="shared" si="4"/>
        <v>0</v>
      </c>
      <c r="I24" s="232">
        <f t="shared" si="4"/>
        <v>0</v>
      </c>
      <c r="J24" s="232">
        <f t="shared" si="4"/>
        <v>0</v>
      </c>
      <c r="K24" s="232">
        <f t="shared" si="4"/>
        <v>0</v>
      </c>
      <c r="L24" s="232">
        <f t="shared" si="4"/>
        <v>0</v>
      </c>
      <c r="M24" s="232">
        <f t="shared" si="4"/>
        <v>0</v>
      </c>
      <c r="N24" s="232">
        <f t="shared" si="4"/>
        <v>0</v>
      </c>
      <c r="O24" s="232">
        <f t="shared" si="4"/>
        <v>0</v>
      </c>
      <c r="P24" s="229">
        <f t="shared" si="0"/>
        <v>0</v>
      </c>
      <c r="Q24" s="233"/>
      <c r="R24" s="228">
        <v>0</v>
      </c>
      <c r="S24" s="234"/>
      <c r="T24" s="229">
        <f t="shared" si="1"/>
        <v>0</v>
      </c>
      <c r="U24" s="299"/>
      <c r="AF24" s="280" t="s">
        <v>469</v>
      </c>
      <c r="AG24" s="287"/>
      <c r="AH24" s="276"/>
      <c r="AL24" s="8" t="s">
        <v>54</v>
      </c>
      <c r="AM24" s="249" t="s">
        <v>55</v>
      </c>
      <c r="AN24" s="250" t="s">
        <v>56</v>
      </c>
      <c r="AO24" s="250" t="s">
        <v>481</v>
      </c>
    </row>
    <row r="25" spans="1:41" x14ac:dyDescent="0.25">
      <c r="A25" s="335"/>
      <c r="B25" s="167" t="s">
        <v>11</v>
      </c>
      <c r="C25" s="27"/>
      <c r="D25" s="228">
        <v>0</v>
      </c>
      <c r="E25" s="228">
        <v>0</v>
      </c>
      <c r="F25" s="228">
        <v>0</v>
      </c>
      <c r="G25" s="228">
        <v>0</v>
      </c>
      <c r="H25" s="228">
        <v>0</v>
      </c>
      <c r="I25" s="228">
        <v>0</v>
      </c>
      <c r="J25" s="228">
        <v>0</v>
      </c>
      <c r="K25" s="228">
        <v>0</v>
      </c>
      <c r="L25" s="228">
        <v>0</v>
      </c>
      <c r="M25" s="228">
        <v>0</v>
      </c>
      <c r="N25" s="228">
        <v>0</v>
      </c>
      <c r="O25" s="228">
        <v>0</v>
      </c>
      <c r="P25" s="229">
        <f t="shared" si="0"/>
        <v>0</v>
      </c>
      <c r="Q25" s="228">
        <v>0</v>
      </c>
      <c r="R25" s="228">
        <v>0</v>
      </c>
      <c r="S25" s="228">
        <v>0</v>
      </c>
      <c r="T25" s="229">
        <f t="shared" si="1"/>
        <v>0</v>
      </c>
      <c r="U25" s="299"/>
      <c r="AF25" s="285">
        <v>0</v>
      </c>
      <c r="AG25" s="255">
        <v>300000</v>
      </c>
      <c r="AH25" s="288">
        <v>0</v>
      </c>
      <c r="AI25" s="255">
        <f>AG25-AF25</f>
        <v>300000</v>
      </c>
      <c r="AJ25" s="255"/>
      <c r="AK25" s="255"/>
      <c r="AL25" s="255">
        <f>MIN(AL23,AI25)</f>
        <v>0</v>
      </c>
      <c r="AM25" s="255">
        <f>AL23-AL25</f>
        <v>0</v>
      </c>
      <c r="AN25" s="255">
        <f>AL25*AH25</f>
        <v>0</v>
      </c>
    </row>
    <row r="26" spans="1:41" x14ac:dyDescent="0.25">
      <c r="A26" s="335"/>
      <c r="B26" s="167" t="s">
        <v>12</v>
      </c>
      <c r="C26" s="27"/>
      <c r="D26" s="228">
        <v>0</v>
      </c>
      <c r="E26" s="228">
        <v>0</v>
      </c>
      <c r="F26" s="228">
        <v>0</v>
      </c>
      <c r="G26" s="228">
        <v>0</v>
      </c>
      <c r="H26" s="228">
        <v>0</v>
      </c>
      <c r="I26" s="228">
        <v>0</v>
      </c>
      <c r="J26" s="228">
        <v>0</v>
      </c>
      <c r="K26" s="228">
        <v>0</v>
      </c>
      <c r="L26" s="228">
        <v>0</v>
      </c>
      <c r="M26" s="228">
        <v>0</v>
      </c>
      <c r="N26" s="228">
        <v>0</v>
      </c>
      <c r="O26" s="228">
        <v>0</v>
      </c>
      <c r="P26" s="229">
        <f t="shared" si="0"/>
        <v>0</v>
      </c>
      <c r="Q26" s="228">
        <v>0</v>
      </c>
      <c r="R26" s="228">
        <v>0</v>
      </c>
      <c r="S26" s="228">
        <v>0</v>
      </c>
      <c r="T26" s="229">
        <f t="shared" si="1"/>
        <v>0</v>
      </c>
      <c r="U26" s="299"/>
      <c r="V26" s="129" t="str">
        <f>IF(AND(P26&lt;&gt;0,SUM(Q25:S26)&lt;&gt;0),"ERROR! Enter only one set: D26-O26 or Q26-S26; not both","")</f>
        <v/>
      </c>
      <c r="AF26" s="285">
        <f t="shared" ref="AF26:AF30" si="5">AG25+1</f>
        <v>300001</v>
      </c>
      <c r="AG26" s="255">
        <v>600000</v>
      </c>
      <c r="AH26" s="288">
        <v>0.05</v>
      </c>
      <c r="AI26" s="255">
        <f t="shared" ref="AI26:AI31" si="6">AG26-AF26+1</f>
        <v>300000</v>
      </c>
      <c r="AJ26" s="255"/>
      <c r="AK26" s="255"/>
      <c r="AL26" s="255">
        <f>MIN(AM25,AI26)</f>
        <v>0</v>
      </c>
      <c r="AM26" s="255">
        <f>AM25-AL26</f>
        <v>0</v>
      </c>
      <c r="AN26" s="255">
        <f>AL26*AH26</f>
        <v>0</v>
      </c>
    </row>
    <row r="27" spans="1:41" x14ac:dyDescent="0.25">
      <c r="A27" s="335"/>
      <c r="B27" s="167" t="s">
        <v>13</v>
      </c>
      <c r="C27" s="27"/>
      <c r="D27" s="228">
        <v>0</v>
      </c>
      <c r="E27" s="228">
        <v>0</v>
      </c>
      <c r="F27" s="228">
        <v>0</v>
      </c>
      <c r="G27" s="228">
        <v>0</v>
      </c>
      <c r="H27" s="228">
        <v>0</v>
      </c>
      <c r="I27" s="228">
        <v>0</v>
      </c>
      <c r="J27" s="228">
        <v>0</v>
      </c>
      <c r="K27" s="228">
        <v>0</v>
      </c>
      <c r="L27" s="228">
        <v>0</v>
      </c>
      <c r="M27" s="228">
        <v>0</v>
      </c>
      <c r="N27" s="228">
        <v>0</v>
      </c>
      <c r="O27" s="228">
        <v>0</v>
      </c>
      <c r="P27" s="229">
        <f t="shared" ref="P27:P38" si="7">SUM(D27:O27)</f>
        <v>0</v>
      </c>
      <c r="Q27" s="328"/>
      <c r="R27" s="329"/>
      <c r="S27" s="330"/>
      <c r="T27" s="229">
        <f t="shared" si="1"/>
        <v>0</v>
      </c>
      <c r="U27" s="299"/>
      <c r="AF27" s="285">
        <f t="shared" si="5"/>
        <v>600001</v>
      </c>
      <c r="AG27" s="255">
        <v>900000</v>
      </c>
      <c r="AH27" s="288">
        <v>0.1</v>
      </c>
      <c r="AI27" s="255">
        <f t="shared" si="6"/>
        <v>300000</v>
      </c>
      <c r="AJ27" s="255"/>
      <c r="AK27" s="255"/>
      <c r="AL27" s="255">
        <f t="shared" ref="AL27:AL30" si="8">MIN(AM26,AI27)</f>
        <v>0</v>
      </c>
      <c r="AM27" s="255">
        <f t="shared" ref="AM27:AM30" si="9">AM26-AL27</f>
        <v>0</v>
      </c>
      <c r="AN27" s="255">
        <f t="shared" ref="AN27:AN30" si="10">AL27*AH27</f>
        <v>0</v>
      </c>
    </row>
    <row r="28" spans="1:41" x14ac:dyDescent="0.25">
      <c r="A28" s="335"/>
      <c r="B28" s="168" t="s">
        <v>14</v>
      </c>
      <c r="C28" s="27"/>
      <c r="D28" s="228">
        <v>0</v>
      </c>
      <c r="E28" s="228">
        <v>0</v>
      </c>
      <c r="F28" s="228">
        <v>0</v>
      </c>
      <c r="G28" s="228">
        <v>0</v>
      </c>
      <c r="H28" s="228">
        <v>0</v>
      </c>
      <c r="I28" s="228">
        <v>0</v>
      </c>
      <c r="J28" s="228">
        <v>0</v>
      </c>
      <c r="K28" s="228">
        <v>0</v>
      </c>
      <c r="L28" s="228">
        <v>0</v>
      </c>
      <c r="M28" s="228">
        <v>0</v>
      </c>
      <c r="N28" s="228">
        <v>0</v>
      </c>
      <c r="O28" s="228">
        <v>0</v>
      </c>
      <c r="P28" s="229">
        <f t="shared" si="7"/>
        <v>0</v>
      </c>
      <c r="Q28" s="328"/>
      <c r="R28" s="329"/>
      <c r="S28" s="330"/>
      <c r="T28" s="229">
        <f t="shared" ref="T28:T38" si="11">SUM(P28:S28)</f>
        <v>0</v>
      </c>
      <c r="U28" s="299"/>
      <c r="AF28" s="285">
        <f t="shared" si="5"/>
        <v>900001</v>
      </c>
      <c r="AG28" s="255">
        <v>1200000</v>
      </c>
      <c r="AH28" s="288">
        <v>0.15</v>
      </c>
      <c r="AI28" s="255">
        <f t="shared" si="6"/>
        <v>300000</v>
      </c>
      <c r="AJ28" s="255"/>
      <c r="AK28" s="255"/>
      <c r="AL28" s="255">
        <f t="shared" si="8"/>
        <v>0</v>
      </c>
      <c r="AM28" s="255">
        <f t="shared" si="9"/>
        <v>0</v>
      </c>
      <c r="AN28" s="255">
        <f t="shared" si="10"/>
        <v>0</v>
      </c>
    </row>
    <row r="29" spans="1:41" x14ac:dyDescent="0.25">
      <c r="A29" s="335"/>
      <c r="B29" s="168" t="s">
        <v>14</v>
      </c>
      <c r="C29" s="27"/>
      <c r="D29" s="228">
        <v>0</v>
      </c>
      <c r="E29" s="228">
        <v>0</v>
      </c>
      <c r="F29" s="228">
        <v>0</v>
      </c>
      <c r="G29" s="228">
        <v>0</v>
      </c>
      <c r="H29" s="228">
        <v>0</v>
      </c>
      <c r="I29" s="228">
        <v>0</v>
      </c>
      <c r="J29" s="228">
        <v>0</v>
      </c>
      <c r="K29" s="228">
        <v>0</v>
      </c>
      <c r="L29" s="228">
        <v>0</v>
      </c>
      <c r="M29" s="228">
        <v>0</v>
      </c>
      <c r="N29" s="228">
        <v>0</v>
      </c>
      <c r="O29" s="228">
        <v>0</v>
      </c>
      <c r="P29" s="229">
        <f t="shared" si="7"/>
        <v>0</v>
      </c>
      <c r="Q29" s="328"/>
      <c r="R29" s="329"/>
      <c r="S29" s="330"/>
      <c r="T29" s="229">
        <f t="shared" si="11"/>
        <v>0</v>
      </c>
      <c r="U29" s="299"/>
      <c r="AF29" s="285">
        <f t="shared" si="5"/>
        <v>1200001</v>
      </c>
      <c r="AG29" s="255">
        <v>1500000</v>
      </c>
      <c r="AH29" s="288">
        <v>0.2</v>
      </c>
      <c r="AI29" s="255">
        <f t="shared" si="6"/>
        <v>300000</v>
      </c>
      <c r="AJ29" s="255"/>
      <c r="AK29" s="255"/>
      <c r="AL29" s="255">
        <f t="shared" si="8"/>
        <v>0</v>
      </c>
      <c r="AM29" s="255">
        <f t="shared" si="9"/>
        <v>0</v>
      </c>
      <c r="AN29" s="255">
        <f t="shared" si="10"/>
        <v>0</v>
      </c>
    </row>
    <row r="30" spans="1:41" x14ac:dyDescent="0.25">
      <c r="A30" s="335"/>
      <c r="B30" s="168" t="s">
        <v>14</v>
      </c>
      <c r="C30" s="27"/>
      <c r="D30" s="228">
        <v>0</v>
      </c>
      <c r="E30" s="228">
        <v>0</v>
      </c>
      <c r="F30" s="228">
        <v>0</v>
      </c>
      <c r="G30" s="228">
        <v>0</v>
      </c>
      <c r="H30" s="228">
        <v>0</v>
      </c>
      <c r="I30" s="228">
        <v>0</v>
      </c>
      <c r="J30" s="228">
        <v>0</v>
      </c>
      <c r="K30" s="228">
        <v>0</v>
      </c>
      <c r="L30" s="228">
        <v>0</v>
      </c>
      <c r="M30" s="228">
        <v>0</v>
      </c>
      <c r="N30" s="228">
        <v>0</v>
      </c>
      <c r="O30" s="228">
        <v>0</v>
      </c>
      <c r="P30" s="229">
        <f t="shared" si="7"/>
        <v>0</v>
      </c>
      <c r="Q30" s="328"/>
      <c r="R30" s="329"/>
      <c r="S30" s="330"/>
      <c r="T30" s="229">
        <f t="shared" si="11"/>
        <v>0</v>
      </c>
      <c r="U30" s="299"/>
      <c r="AF30" s="285">
        <f t="shared" si="5"/>
        <v>1500001</v>
      </c>
      <c r="AG30" s="255">
        <v>10000000000</v>
      </c>
      <c r="AH30" s="288">
        <v>0.3</v>
      </c>
      <c r="AI30" s="290">
        <f t="shared" si="6"/>
        <v>9998500000</v>
      </c>
      <c r="AJ30" s="255"/>
      <c r="AK30" s="255"/>
      <c r="AL30" s="255">
        <f t="shared" si="8"/>
        <v>0</v>
      </c>
      <c r="AM30" s="255">
        <f t="shared" si="9"/>
        <v>0</v>
      </c>
      <c r="AN30" s="255">
        <f t="shared" si="10"/>
        <v>0</v>
      </c>
    </row>
    <row r="31" spans="1:41" x14ac:dyDescent="0.25">
      <c r="A31" s="335"/>
      <c r="B31" s="168" t="s">
        <v>14</v>
      </c>
      <c r="C31" s="27"/>
      <c r="D31" s="228">
        <v>0</v>
      </c>
      <c r="E31" s="228">
        <v>0</v>
      </c>
      <c r="F31" s="228">
        <v>0</v>
      </c>
      <c r="G31" s="228">
        <v>0</v>
      </c>
      <c r="H31" s="228">
        <v>0</v>
      </c>
      <c r="I31" s="228">
        <v>0</v>
      </c>
      <c r="J31" s="228">
        <v>0</v>
      </c>
      <c r="K31" s="228">
        <v>0</v>
      </c>
      <c r="L31" s="228">
        <v>0</v>
      </c>
      <c r="M31" s="228">
        <v>0</v>
      </c>
      <c r="N31" s="228">
        <v>0</v>
      </c>
      <c r="O31" s="228">
        <v>0</v>
      </c>
      <c r="P31" s="229">
        <f>SUM(D31:O31)</f>
        <v>0</v>
      </c>
      <c r="Q31" s="328"/>
      <c r="R31" s="329"/>
      <c r="S31" s="330"/>
      <c r="T31" s="229">
        <f>SUM(P31:S31)</f>
        <v>0</v>
      </c>
      <c r="U31" s="299"/>
      <c r="AF31" s="286"/>
      <c r="AG31" s="279"/>
      <c r="AH31" s="289"/>
      <c r="AI31" s="290">
        <f t="shared" si="6"/>
        <v>1</v>
      </c>
      <c r="AJ31" s="290"/>
      <c r="AK31" s="290"/>
      <c r="AL31" s="255">
        <f>AM30</f>
        <v>0</v>
      </c>
      <c r="AM31" s="255"/>
      <c r="AN31" s="255">
        <f>AL31*AH31</f>
        <v>0</v>
      </c>
    </row>
    <row r="32" spans="1:41" ht="13.5" thickBot="1" x14ac:dyDescent="0.3">
      <c r="A32" s="335"/>
      <c r="B32" s="168" t="s">
        <v>14</v>
      </c>
      <c r="C32" s="27"/>
      <c r="D32" s="228">
        <v>0</v>
      </c>
      <c r="E32" s="228">
        <v>0</v>
      </c>
      <c r="F32" s="228">
        <v>0</v>
      </c>
      <c r="G32" s="228">
        <v>0</v>
      </c>
      <c r="H32" s="228">
        <v>0</v>
      </c>
      <c r="I32" s="228">
        <v>0</v>
      </c>
      <c r="J32" s="228">
        <v>0</v>
      </c>
      <c r="K32" s="228">
        <v>0</v>
      </c>
      <c r="L32" s="228">
        <v>0</v>
      </c>
      <c r="M32" s="228">
        <v>0</v>
      </c>
      <c r="N32" s="228">
        <v>0</v>
      </c>
      <c r="O32" s="228">
        <v>0</v>
      </c>
      <c r="P32" s="229">
        <f t="shared" si="7"/>
        <v>0</v>
      </c>
      <c r="Q32" s="328"/>
      <c r="R32" s="329"/>
      <c r="S32" s="330"/>
      <c r="T32" s="229">
        <f t="shared" si="11"/>
        <v>0</v>
      </c>
      <c r="U32" s="299"/>
      <c r="AL32" s="255"/>
      <c r="AM32" s="255"/>
      <c r="AN32" s="291">
        <f>SUM(AN25:AN31)</f>
        <v>0</v>
      </c>
      <c r="AO32" s="255">
        <f>IF(AL23&gt;700000,MAX(AN32-(MIN(AL23-700000,AL32))/104%,0),MIN(IF(AL23&lt;=700000,25000,0),(AN26+AN27)))</f>
        <v>0</v>
      </c>
    </row>
    <row r="33" spans="1:32" ht="13.5" thickTop="1" x14ac:dyDescent="0.25">
      <c r="A33" s="335"/>
      <c r="B33" s="168" t="s">
        <v>14</v>
      </c>
      <c r="C33" s="27"/>
      <c r="D33" s="228">
        <v>0</v>
      </c>
      <c r="E33" s="228">
        <v>0</v>
      </c>
      <c r="F33" s="228">
        <v>0</v>
      </c>
      <c r="G33" s="228">
        <v>0</v>
      </c>
      <c r="H33" s="228">
        <v>0</v>
      </c>
      <c r="I33" s="228">
        <v>0</v>
      </c>
      <c r="J33" s="228">
        <v>0</v>
      </c>
      <c r="K33" s="228">
        <v>0</v>
      </c>
      <c r="L33" s="228">
        <v>0</v>
      </c>
      <c r="M33" s="228">
        <v>0</v>
      </c>
      <c r="N33" s="228">
        <v>0</v>
      </c>
      <c r="O33" s="228">
        <v>0</v>
      </c>
      <c r="P33" s="229">
        <f t="shared" si="7"/>
        <v>0</v>
      </c>
      <c r="Q33" s="328"/>
      <c r="R33" s="329"/>
      <c r="S33" s="330"/>
      <c r="T33" s="229">
        <f t="shared" si="11"/>
        <v>0</v>
      </c>
      <c r="U33" s="299"/>
    </row>
    <row r="34" spans="1:32" x14ac:dyDescent="0.25">
      <c r="A34" s="335"/>
      <c r="B34" s="168" t="s">
        <v>14</v>
      </c>
      <c r="C34" s="27"/>
      <c r="D34" s="228">
        <v>0</v>
      </c>
      <c r="E34" s="228">
        <v>0</v>
      </c>
      <c r="F34" s="228">
        <v>0</v>
      </c>
      <c r="G34" s="228">
        <v>0</v>
      </c>
      <c r="H34" s="228">
        <v>0</v>
      </c>
      <c r="I34" s="228">
        <v>0</v>
      </c>
      <c r="J34" s="228">
        <v>0</v>
      </c>
      <c r="K34" s="228">
        <v>0</v>
      </c>
      <c r="L34" s="228">
        <v>0</v>
      </c>
      <c r="M34" s="228">
        <v>0</v>
      </c>
      <c r="N34" s="228">
        <v>0</v>
      </c>
      <c r="O34" s="228">
        <v>0</v>
      </c>
      <c r="P34" s="229">
        <f t="shared" si="7"/>
        <v>0</v>
      </c>
      <c r="Q34" s="328"/>
      <c r="R34" s="329"/>
      <c r="S34" s="330"/>
      <c r="T34" s="229">
        <f t="shared" si="11"/>
        <v>0</v>
      </c>
      <c r="U34" s="299"/>
    </row>
    <row r="35" spans="1:32" x14ac:dyDescent="0.25">
      <c r="A35" s="335"/>
      <c r="B35" s="168" t="s">
        <v>14</v>
      </c>
      <c r="C35" s="27"/>
      <c r="D35" s="228">
        <v>0</v>
      </c>
      <c r="E35" s="228">
        <v>0</v>
      </c>
      <c r="F35" s="228">
        <v>0</v>
      </c>
      <c r="G35" s="228">
        <v>0</v>
      </c>
      <c r="H35" s="228">
        <v>0</v>
      </c>
      <c r="I35" s="228">
        <v>0</v>
      </c>
      <c r="J35" s="228">
        <v>0</v>
      </c>
      <c r="K35" s="228">
        <v>0</v>
      </c>
      <c r="L35" s="228">
        <v>0</v>
      </c>
      <c r="M35" s="228">
        <v>0</v>
      </c>
      <c r="N35" s="228">
        <v>0</v>
      </c>
      <c r="O35" s="228">
        <v>0</v>
      </c>
      <c r="P35" s="229">
        <f t="shared" si="7"/>
        <v>0</v>
      </c>
      <c r="Q35" s="328"/>
      <c r="R35" s="329"/>
      <c r="S35" s="330"/>
      <c r="T35" s="229">
        <f t="shared" si="11"/>
        <v>0</v>
      </c>
      <c r="U35" s="299"/>
    </row>
    <row r="36" spans="1:32" x14ac:dyDescent="0.25">
      <c r="A36" s="335"/>
      <c r="B36" s="168" t="s">
        <v>14</v>
      </c>
      <c r="C36" s="27"/>
      <c r="D36" s="228">
        <v>0</v>
      </c>
      <c r="E36" s="228">
        <v>0</v>
      </c>
      <c r="F36" s="228">
        <v>0</v>
      </c>
      <c r="G36" s="228">
        <v>0</v>
      </c>
      <c r="H36" s="228">
        <v>0</v>
      </c>
      <c r="I36" s="228">
        <v>0</v>
      </c>
      <c r="J36" s="228">
        <v>0</v>
      </c>
      <c r="K36" s="228">
        <v>0</v>
      </c>
      <c r="L36" s="228">
        <v>0</v>
      </c>
      <c r="M36" s="228">
        <v>0</v>
      </c>
      <c r="N36" s="228">
        <v>0</v>
      </c>
      <c r="O36" s="228">
        <v>0</v>
      </c>
      <c r="P36" s="229">
        <f t="shared" si="7"/>
        <v>0</v>
      </c>
      <c r="Q36" s="328"/>
      <c r="R36" s="329"/>
      <c r="S36" s="330"/>
      <c r="T36" s="229">
        <f t="shared" si="11"/>
        <v>0</v>
      </c>
      <c r="U36" s="299"/>
    </row>
    <row r="37" spans="1:32" x14ac:dyDescent="0.25">
      <c r="A37" s="335"/>
      <c r="B37" s="167" t="s">
        <v>34</v>
      </c>
      <c r="C37" s="27"/>
      <c r="D37" s="235">
        <f t="shared" ref="D37:S37" si="12">SUM(D22:D36)</f>
        <v>0</v>
      </c>
      <c r="E37" s="235">
        <f t="shared" si="12"/>
        <v>0</v>
      </c>
      <c r="F37" s="235">
        <f t="shared" si="12"/>
        <v>0</v>
      </c>
      <c r="G37" s="235">
        <f t="shared" si="12"/>
        <v>0</v>
      </c>
      <c r="H37" s="235">
        <f t="shared" si="12"/>
        <v>0</v>
      </c>
      <c r="I37" s="235">
        <f t="shared" si="12"/>
        <v>0</v>
      </c>
      <c r="J37" s="235">
        <f t="shared" si="12"/>
        <v>0</v>
      </c>
      <c r="K37" s="235">
        <f t="shared" si="12"/>
        <v>0</v>
      </c>
      <c r="L37" s="235">
        <f t="shared" si="12"/>
        <v>0</v>
      </c>
      <c r="M37" s="235">
        <f t="shared" si="12"/>
        <v>0</v>
      </c>
      <c r="N37" s="235">
        <f t="shared" si="12"/>
        <v>0</v>
      </c>
      <c r="O37" s="235">
        <f t="shared" si="12"/>
        <v>0</v>
      </c>
      <c r="P37" s="229">
        <f t="shared" si="7"/>
        <v>0</v>
      </c>
      <c r="Q37" s="235">
        <f t="shared" si="12"/>
        <v>0</v>
      </c>
      <c r="R37" s="235">
        <f t="shared" si="12"/>
        <v>0</v>
      </c>
      <c r="S37" s="235">
        <f t="shared" si="12"/>
        <v>0</v>
      </c>
      <c r="T37" s="229">
        <f t="shared" si="11"/>
        <v>0</v>
      </c>
      <c r="U37" s="299"/>
    </row>
    <row r="38" spans="1:32" x14ac:dyDescent="0.25">
      <c r="A38" s="169"/>
      <c r="B38" s="170" t="s">
        <v>35</v>
      </c>
      <c r="C38" s="27"/>
      <c r="D38" s="230">
        <f t="shared" ref="D38:S38" si="13">D21-D37</f>
        <v>0</v>
      </c>
      <c r="E38" s="230">
        <f t="shared" si="13"/>
        <v>0</v>
      </c>
      <c r="F38" s="230">
        <f t="shared" si="13"/>
        <v>0</v>
      </c>
      <c r="G38" s="230">
        <f t="shared" si="13"/>
        <v>0</v>
      </c>
      <c r="H38" s="230">
        <f t="shared" si="13"/>
        <v>0</v>
      </c>
      <c r="I38" s="230">
        <f t="shared" si="13"/>
        <v>0</v>
      </c>
      <c r="J38" s="230">
        <f t="shared" si="13"/>
        <v>0</v>
      </c>
      <c r="K38" s="230">
        <f t="shared" si="13"/>
        <v>0</v>
      </c>
      <c r="L38" s="230">
        <f t="shared" si="13"/>
        <v>0</v>
      </c>
      <c r="M38" s="230">
        <f t="shared" si="13"/>
        <v>0</v>
      </c>
      <c r="N38" s="230">
        <f t="shared" si="13"/>
        <v>0</v>
      </c>
      <c r="O38" s="230">
        <f t="shared" si="13"/>
        <v>0</v>
      </c>
      <c r="P38" s="229">
        <f t="shared" si="7"/>
        <v>0</v>
      </c>
      <c r="Q38" s="230">
        <f t="shared" si="13"/>
        <v>0</v>
      </c>
      <c r="R38" s="230">
        <f t="shared" si="13"/>
        <v>0</v>
      </c>
      <c r="S38" s="230">
        <f t="shared" si="13"/>
        <v>0</v>
      </c>
      <c r="T38" s="229">
        <f t="shared" si="11"/>
        <v>0</v>
      </c>
      <c r="U38" s="299"/>
      <c r="AE38" s="154" t="s">
        <v>476</v>
      </c>
      <c r="AF38" s="255">
        <f>MAX((AB54-12%)*P99,0)</f>
        <v>0</v>
      </c>
    </row>
    <row r="39" spans="1:32" ht="12.75" customHeight="1" x14ac:dyDescent="0.25">
      <c r="A39" s="335" t="s">
        <v>9</v>
      </c>
      <c r="B39" s="171" t="s">
        <v>128</v>
      </c>
      <c r="C39" s="27"/>
      <c r="D39" s="228">
        <v>0</v>
      </c>
      <c r="E39" s="228">
        <v>0</v>
      </c>
      <c r="F39" s="228">
        <v>0</v>
      </c>
      <c r="G39" s="228">
        <v>0</v>
      </c>
      <c r="H39" s="228">
        <v>0</v>
      </c>
      <c r="I39" s="228">
        <v>0</v>
      </c>
      <c r="J39" s="228">
        <v>0</v>
      </c>
      <c r="K39" s="228">
        <v>0</v>
      </c>
      <c r="L39" s="228">
        <v>0</v>
      </c>
      <c r="M39" s="228">
        <v>0</v>
      </c>
      <c r="N39" s="228">
        <v>0</v>
      </c>
      <c r="O39" s="228">
        <v>0</v>
      </c>
      <c r="P39" s="236"/>
      <c r="Q39" s="237"/>
      <c r="R39" s="238"/>
      <c r="S39" s="238"/>
      <c r="T39" s="239"/>
      <c r="U39" s="242"/>
      <c r="AE39" s="154" t="s">
        <v>477</v>
      </c>
      <c r="AF39" s="255">
        <v>0</v>
      </c>
    </row>
    <row r="40" spans="1:32" x14ac:dyDescent="0.25">
      <c r="A40" s="335"/>
      <c r="B40" s="164" t="s">
        <v>36</v>
      </c>
      <c r="C40" s="27"/>
      <c r="D40" s="228">
        <v>0</v>
      </c>
      <c r="E40" s="235">
        <f>D42</f>
        <v>0</v>
      </c>
      <c r="F40" s="235">
        <f t="shared" ref="F40:O40" si="14">E42</f>
        <v>0</v>
      </c>
      <c r="G40" s="235">
        <f t="shared" si="14"/>
        <v>0</v>
      </c>
      <c r="H40" s="235">
        <f t="shared" si="14"/>
        <v>0</v>
      </c>
      <c r="I40" s="235">
        <f t="shared" si="14"/>
        <v>0</v>
      </c>
      <c r="J40" s="235">
        <f t="shared" si="14"/>
        <v>0</v>
      </c>
      <c r="K40" s="235">
        <f t="shared" si="14"/>
        <v>0</v>
      </c>
      <c r="L40" s="235">
        <f t="shared" si="14"/>
        <v>0</v>
      </c>
      <c r="M40" s="235">
        <f t="shared" si="14"/>
        <v>0</v>
      </c>
      <c r="N40" s="235">
        <f t="shared" si="14"/>
        <v>0</v>
      </c>
      <c r="O40" s="235">
        <f t="shared" si="14"/>
        <v>0</v>
      </c>
      <c r="P40" s="229">
        <f>D40</f>
        <v>0</v>
      </c>
      <c r="Q40" s="240"/>
      <c r="R40" s="241"/>
      <c r="S40" s="241"/>
      <c r="T40" s="242"/>
      <c r="U40" s="242"/>
      <c r="AE40" s="154" t="s">
        <v>478</v>
      </c>
      <c r="AF40" s="255">
        <f>MAX(N89-O89,0)</f>
        <v>0</v>
      </c>
    </row>
    <row r="41" spans="1:32" x14ac:dyDescent="0.25">
      <c r="A41" s="335"/>
      <c r="B41" s="167" t="s">
        <v>37</v>
      </c>
      <c r="C41" s="27"/>
      <c r="D41" s="235">
        <f t="shared" ref="D41:O41" si="15">ROUND(D40*($AB$57/12),0)</f>
        <v>0</v>
      </c>
      <c r="E41" s="235">
        <f t="shared" si="15"/>
        <v>0</v>
      </c>
      <c r="F41" s="235">
        <f t="shared" si="15"/>
        <v>0</v>
      </c>
      <c r="G41" s="235">
        <f t="shared" si="15"/>
        <v>0</v>
      </c>
      <c r="H41" s="235">
        <f t="shared" si="15"/>
        <v>0</v>
      </c>
      <c r="I41" s="235">
        <f t="shared" si="15"/>
        <v>0</v>
      </c>
      <c r="J41" s="235">
        <f t="shared" si="15"/>
        <v>0</v>
      </c>
      <c r="K41" s="235">
        <f t="shared" si="15"/>
        <v>0</v>
      </c>
      <c r="L41" s="235">
        <f t="shared" si="15"/>
        <v>0</v>
      </c>
      <c r="M41" s="235">
        <f t="shared" si="15"/>
        <v>0</v>
      </c>
      <c r="N41" s="235">
        <f t="shared" si="15"/>
        <v>0</v>
      </c>
      <c r="O41" s="235">
        <f t="shared" si="15"/>
        <v>0</v>
      </c>
      <c r="P41" s="229">
        <f>SUM(D41:O41)</f>
        <v>0</v>
      </c>
      <c r="Q41" s="240"/>
      <c r="R41" s="241"/>
      <c r="S41" s="241"/>
      <c r="T41" s="242"/>
      <c r="U41" s="242"/>
      <c r="AE41" s="154" t="s">
        <v>479</v>
      </c>
      <c r="AF41" s="255">
        <f>MAX(T23-AF38+O88+O89-750000,0)</f>
        <v>0</v>
      </c>
    </row>
    <row r="42" spans="1:32" x14ac:dyDescent="0.25">
      <c r="A42" s="335"/>
      <c r="B42" s="167" t="s">
        <v>38</v>
      </c>
      <c r="C42" s="27"/>
      <c r="D42" s="230">
        <f t="shared" ref="D42:O42" si="16">D40+D23+D24-D39+MAX((D23-MIN(D99*8.33%,1250)),0)</f>
        <v>0</v>
      </c>
      <c r="E42" s="230">
        <f t="shared" si="16"/>
        <v>0</v>
      </c>
      <c r="F42" s="230">
        <f t="shared" si="16"/>
        <v>0</v>
      </c>
      <c r="G42" s="230">
        <f t="shared" si="16"/>
        <v>0</v>
      </c>
      <c r="H42" s="230">
        <f t="shared" si="16"/>
        <v>0</v>
      </c>
      <c r="I42" s="230">
        <f t="shared" si="16"/>
        <v>0</v>
      </c>
      <c r="J42" s="230">
        <f t="shared" si="16"/>
        <v>0</v>
      </c>
      <c r="K42" s="230">
        <f t="shared" si="16"/>
        <v>0</v>
      </c>
      <c r="L42" s="230">
        <f t="shared" si="16"/>
        <v>0</v>
      </c>
      <c r="M42" s="230">
        <f t="shared" si="16"/>
        <v>0</v>
      </c>
      <c r="N42" s="230">
        <f t="shared" si="16"/>
        <v>0</v>
      </c>
      <c r="O42" s="230">
        <f t="shared" si="16"/>
        <v>0</v>
      </c>
      <c r="P42" s="229">
        <f>O42+P41</f>
        <v>0</v>
      </c>
      <c r="Q42" s="240"/>
      <c r="R42" s="241"/>
      <c r="S42" s="241"/>
      <c r="T42" s="242"/>
      <c r="U42" s="242"/>
      <c r="AE42" s="154" t="s">
        <v>480</v>
      </c>
      <c r="AF42" s="255">
        <f>SUM(AF38:AF41)</f>
        <v>0</v>
      </c>
    </row>
    <row r="43" spans="1:32" x14ac:dyDescent="0.25">
      <c r="A43" s="169"/>
      <c r="B43" s="172" t="str">
        <f>IF(AB58="P","VPF %","VPF Amt")</f>
        <v>VPF %</v>
      </c>
      <c r="C43" s="27"/>
      <c r="D43" s="118">
        <v>0</v>
      </c>
      <c r="E43" s="118">
        <v>0</v>
      </c>
      <c r="F43" s="118">
        <v>0</v>
      </c>
      <c r="G43" s="118">
        <v>0</v>
      </c>
      <c r="H43" s="118">
        <v>0</v>
      </c>
      <c r="I43" s="118">
        <v>0</v>
      </c>
      <c r="J43" s="118">
        <v>0</v>
      </c>
      <c r="K43" s="118">
        <v>0</v>
      </c>
      <c r="L43" s="118">
        <v>0</v>
      </c>
      <c r="M43" s="118">
        <v>0</v>
      </c>
      <c r="N43" s="118">
        <v>0</v>
      </c>
      <c r="O43" s="121">
        <v>0</v>
      </c>
    </row>
    <row r="44" spans="1:32" x14ac:dyDescent="0.25">
      <c r="A44" s="169"/>
      <c r="B44" s="172" t="s">
        <v>245</v>
      </c>
      <c r="C44" s="27"/>
      <c r="D44" s="119" t="s">
        <v>33</v>
      </c>
      <c r="E44" s="119" t="s">
        <v>33</v>
      </c>
      <c r="F44" s="119" t="s">
        <v>33</v>
      </c>
      <c r="G44" s="119" t="s">
        <v>33</v>
      </c>
      <c r="H44" s="119" t="s">
        <v>33</v>
      </c>
      <c r="I44" s="119" t="s">
        <v>33</v>
      </c>
      <c r="J44" s="119" t="s">
        <v>33</v>
      </c>
      <c r="K44" s="119" t="s">
        <v>33</v>
      </c>
      <c r="L44" s="119" t="s">
        <v>33</v>
      </c>
      <c r="M44" s="119" t="s">
        <v>33</v>
      </c>
      <c r="N44" s="119" t="s">
        <v>33</v>
      </c>
      <c r="O44" s="119" t="s">
        <v>33</v>
      </c>
    </row>
    <row r="45" spans="1:32" x14ac:dyDescent="0.25">
      <c r="A45" s="169"/>
      <c r="B45" s="172" t="s">
        <v>247</v>
      </c>
      <c r="C45" s="27"/>
      <c r="D45" s="119" t="s">
        <v>33</v>
      </c>
      <c r="E45" s="119" t="s">
        <v>33</v>
      </c>
      <c r="F45" s="119" t="s">
        <v>33</v>
      </c>
      <c r="G45" s="119" t="s">
        <v>33</v>
      </c>
      <c r="H45" s="119" t="s">
        <v>33</v>
      </c>
      <c r="I45" s="119" t="s">
        <v>33</v>
      </c>
      <c r="J45" s="119" t="s">
        <v>33</v>
      </c>
      <c r="K45" s="119" t="s">
        <v>33</v>
      </c>
      <c r="L45" s="119" t="s">
        <v>33</v>
      </c>
      <c r="M45" s="119" t="s">
        <v>33</v>
      </c>
      <c r="N45" s="119" t="s">
        <v>33</v>
      </c>
      <c r="O45" s="119" t="s">
        <v>33</v>
      </c>
    </row>
    <row r="46" spans="1:32" x14ac:dyDescent="0.25">
      <c r="A46" s="169"/>
      <c r="B46" s="172" t="s">
        <v>39</v>
      </c>
      <c r="C46" s="27"/>
      <c r="D46" s="119" t="s">
        <v>32</v>
      </c>
      <c r="E46" s="119" t="s">
        <v>32</v>
      </c>
      <c r="F46" s="119" t="s">
        <v>32</v>
      </c>
      <c r="G46" s="119" t="s">
        <v>32</v>
      </c>
      <c r="H46" s="119" t="s">
        <v>32</v>
      </c>
      <c r="I46" s="119" t="s">
        <v>32</v>
      </c>
      <c r="J46" s="119" t="s">
        <v>32</v>
      </c>
      <c r="K46" s="119" t="s">
        <v>32</v>
      </c>
      <c r="L46" s="119" t="s">
        <v>32</v>
      </c>
      <c r="M46" s="119" t="s">
        <v>32</v>
      </c>
      <c r="N46" s="119" t="s">
        <v>32</v>
      </c>
      <c r="O46" s="119" t="s">
        <v>32</v>
      </c>
    </row>
    <row r="47" spans="1:32" x14ac:dyDescent="0.25">
      <c r="A47" s="169"/>
      <c r="B47" s="172" t="s">
        <v>40</v>
      </c>
      <c r="C47" s="27"/>
      <c r="D47" s="119" t="str">
        <f t="shared" ref="D47:O47" si="17">$AB$51</f>
        <v>N</v>
      </c>
      <c r="E47" s="119" t="str">
        <f t="shared" si="17"/>
        <v>N</v>
      </c>
      <c r="F47" s="119" t="str">
        <f t="shared" si="17"/>
        <v>N</v>
      </c>
      <c r="G47" s="119" t="str">
        <f t="shared" si="17"/>
        <v>N</v>
      </c>
      <c r="H47" s="119" t="str">
        <f t="shared" si="17"/>
        <v>N</v>
      </c>
      <c r="I47" s="119" t="str">
        <f t="shared" si="17"/>
        <v>N</v>
      </c>
      <c r="J47" s="119" t="str">
        <f t="shared" si="17"/>
        <v>N</v>
      </c>
      <c r="K47" s="119" t="str">
        <f t="shared" si="17"/>
        <v>N</v>
      </c>
      <c r="L47" s="119" t="str">
        <f t="shared" si="17"/>
        <v>N</v>
      </c>
      <c r="M47" s="119" t="str">
        <f t="shared" si="17"/>
        <v>N</v>
      </c>
      <c r="N47" s="119" t="str">
        <f t="shared" si="17"/>
        <v>N</v>
      </c>
      <c r="O47" s="119" t="str">
        <f t="shared" si="17"/>
        <v>N</v>
      </c>
    </row>
    <row r="48" spans="1:32" x14ac:dyDescent="0.25">
      <c r="A48" s="169"/>
      <c r="B48" s="172" t="s">
        <v>41</v>
      </c>
      <c r="C48" s="27"/>
      <c r="D48" s="120">
        <f t="shared" ref="D48:O48" si="18">$AB$54</f>
        <v>0.12</v>
      </c>
      <c r="E48" s="120">
        <f t="shared" si="18"/>
        <v>0.12</v>
      </c>
      <c r="F48" s="120">
        <f t="shared" si="18"/>
        <v>0.12</v>
      </c>
      <c r="G48" s="120">
        <f t="shared" si="18"/>
        <v>0.12</v>
      </c>
      <c r="H48" s="120">
        <f t="shared" si="18"/>
        <v>0.12</v>
      </c>
      <c r="I48" s="120">
        <f t="shared" si="18"/>
        <v>0.12</v>
      </c>
      <c r="J48" s="120">
        <f t="shared" si="18"/>
        <v>0.12</v>
      </c>
      <c r="K48" s="120">
        <f t="shared" si="18"/>
        <v>0.12</v>
      </c>
      <c r="L48" s="120">
        <f t="shared" si="18"/>
        <v>0.12</v>
      </c>
      <c r="M48" s="120">
        <f t="shared" si="18"/>
        <v>0.12</v>
      </c>
      <c r="N48" s="120">
        <f t="shared" si="18"/>
        <v>0.12</v>
      </c>
      <c r="O48" s="120">
        <f t="shared" si="18"/>
        <v>0.12</v>
      </c>
    </row>
    <row r="49" spans="1:34" x14ac:dyDescent="0.25"/>
    <row r="50" spans="1:34" x14ac:dyDescent="0.25">
      <c r="A50" s="336" t="s">
        <v>43</v>
      </c>
      <c r="B50" s="337"/>
      <c r="C50" s="337"/>
      <c r="D50" s="337"/>
      <c r="E50" s="337"/>
      <c r="F50" s="337"/>
      <c r="G50" s="338"/>
      <c r="I50" s="5" t="s">
        <v>46</v>
      </c>
      <c r="J50" s="6"/>
      <c r="K50" s="6"/>
      <c r="L50" s="6"/>
      <c r="M50" s="6"/>
      <c r="N50" s="7" t="s">
        <v>62</v>
      </c>
      <c r="O50" s="8" t="s">
        <v>63</v>
      </c>
      <c r="Q50" s="5" t="s">
        <v>518</v>
      </c>
      <c r="R50" s="6"/>
      <c r="S50" s="7" t="s">
        <v>62</v>
      </c>
      <c r="T50" s="8" t="s">
        <v>63</v>
      </c>
      <c r="V50" s="138" t="s">
        <v>76</v>
      </c>
      <c r="W50" s="139"/>
      <c r="X50" s="139"/>
      <c r="Y50" s="139"/>
      <c r="Z50" s="139"/>
      <c r="AA50" s="139"/>
      <c r="AB50" s="140"/>
    </row>
    <row r="51" spans="1:34" x14ac:dyDescent="0.25">
      <c r="F51" s="164" t="s">
        <v>483</v>
      </c>
      <c r="G51" s="164" t="s">
        <v>484</v>
      </c>
      <c r="I51" s="199" t="s">
        <v>314</v>
      </c>
      <c r="J51" s="187"/>
      <c r="K51" s="187"/>
      <c r="L51" s="187"/>
      <c r="M51" s="188"/>
      <c r="N51" s="251">
        <f>T26</f>
        <v>0</v>
      </c>
      <c r="O51" s="251">
        <f>IF(P100=0,MAX(MIN((T3+T4)*$AB$52,T26-(T3+T4)*10%,T6),0),P100)</f>
        <v>0</v>
      </c>
      <c r="Q51" s="199" t="s">
        <v>501</v>
      </c>
      <c r="R51" s="187"/>
      <c r="S51" s="228">
        <v>0</v>
      </c>
      <c r="T51" s="251">
        <f>S51/2</f>
        <v>0</v>
      </c>
      <c r="V51" s="176" t="s">
        <v>368</v>
      </c>
      <c r="W51" s="177"/>
      <c r="X51" s="177"/>
      <c r="Y51" s="177"/>
      <c r="Z51" s="177"/>
      <c r="AA51" s="178"/>
      <c r="AB51" s="208" t="s">
        <v>33</v>
      </c>
      <c r="AE51" s="25" t="s">
        <v>135</v>
      </c>
      <c r="AF51" s="25">
        <f>IF(AB55&lt;=0,1000000,AB55)</f>
        <v>1000000</v>
      </c>
    </row>
    <row r="52" spans="1:34" x14ac:dyDescent="0.25">
      <c r="A52" s="195" t="s">
        <v>44</v>
      </c>
      <c r="B52" s="196"/>
      <c r="C52" s="196"/>
      <c r="D52" s="196"/>
      <c r="E52" s="180"/>
      <c r="F52" s="244">
        <f>T21+N88</f>
        <v>0</v>
      </c>
      <c r="G52" s="244">
        <f>T21+N88</f>
        <v>0</v>
      </c>
      <c r="I52" s="199" t="s">
        <v>315</v>
      </c>
      <c r="J52" s="187"/>
      <c r="K52" s="187"/>
      <c r="L52" s="187"/>
      <c r="M52" s="188"/>
      <c r="N52" s="251"/>
      <c r="O52" s="251">
        <f>P97</f>
        <v>0</v>
      </c>
      <c r="Q52" s="199" t="s">
        <v>502</v>
      </c>
      <c r="R52" s="187"/>
      <c r="S52" s="228">
        <v>0</v>
      </c>
      <c r="T52" s="251">
        <f>S52</f>
        <v>0</v>
      </c>
      <c r="V52" s="179" t="s">
        <v>249</v>
      </c>
      <c r="W52" s="180"/>
      <c r="X52" s="180"/>
      <c r="Y52" s="180"/>
      <c r="Z52" s="180"/>
      <c r="AA52" s="181"/>
      <c r="AB52" s="175">
        <f>IF(AB51="M",0.5,0.4)</f>
        <v>0.4</v>
      </c>
      <c r="AE52" s="25" t="s">
        <v>136</v>
      </c>
      <c r="AF52" s="127">
        <v>8.1500000000000003E-2</v>
      </c>
    </row>
    <row r="53" spans="1:34" x14ac:dyDescent="0.25">
      <c r="A53" s="195" t="s">
        <v>425</v>
      </c>
      <c r="B53" s="196"/>
      <c r="C53" s="196"/>
      <c r="D53" s="196"/>
      <c r="E53" s="180"/>
      <c r="F53" s="244">
        <f>MIN(G52,50000)</f>
        <v>0</v>
      </c>
      <c r="G53" s="244">
        <f>MIN(G52,50000)</f>
        <v>0</v>
      </c>
      <c r="I53" s="199" t="s">
        <v>316</v>
      </c>
      <c r="J53" s="187"/>
      <c r="K53" s="187"/>
      <c r="L53" s="187"/>
      <c r="M53" s="188"/>
      <c r="N53" s="228">
        <v>0</v>
      </c>
      <c r="O53" s="251">
        <f>IF(N53="",0,N53)</f>
        <v>0</v>
      </c>
      <c r="Q53" s="199" t="s">
        <v>503</v>
      </c>
      <c r="R53" s="187"/>
      <c r="S53" s="228">
        <v>0</v>
      </c>
      <c r="T53" s="251">
        <f>MAX(MIN(IF(S53="",0,S53*50%),(G64-SUM(O68:O73)-SUM(O75:O78))*10%*50%),0)</f>
        <v>0</v>
      </c>
      <c r="V53" s="182" t="s">
        <v>77</v>
      </c>
      <c r="W53" s="183"/>
      <c r="X53" s="183"/>
      <c r="Y53" s="183"/>
      <c r="Z53" s="183"/>
      <c r="AA53" s="183"/>
      <c r="AB53" s="141"/>
    </row>
    <row r="54" spans="1:34" x14ac:dyDescent="0.25">
      <c r="A54" s="195" t="s">
        <v>45</v>
      </c>
      <c r="B54" s="196"/>
      <c r="C54" s="196"/>
      <c r="D54" s="196"/>
      <c r="E54" s="180"/>
      <c r="F54" s="244">
        <f>T22</f>
        <v>0</v>
      </c>
      <c r="G54" s="244">
        <v>0</v>
      </c>
      <c r="I54" s="199" t="s">
        <v>64</v>
      </c>
      <c r="J54" s="196"/>
      <c r="K54" s="196"/>
      <c r="L54" s="196"/>
      <c r="M54" s="205"/>
      <c r="N54" s="228">
        <v>0</v>
      </c>
      <c r="O54" s="251">
        <f>MIN(IF(N54="",0,N54),T7,400*2*12)</f>
        <v>0</v>
      </c>
      <c r="Q54" s="199" t="s">
        <v>504</v>
      </c>
      <c r="R54" s="187"/>
      <c r="S54" s="228">
        <v>0</v>
      </c>
      <c r="T54" s="251">
        <f>MAX(MIN(IF(S54="",0,S54),(G64-SUM(O68:O73)-SUM(O75:O78))*10%),0)</f>
        <v>0</v>
      </c>
      <c r="V54" s="179" t="s">
        <v>78</v>
      </c>
      <c r="W54" s="180"/>
      <c r="X54" s="180"/>
      <c r="Y54" s="180"/>
      <c r="Z54" s="180"/>
      <c r="AA54" s="181"/>
      <c r="AB54" s="209">
        <v>0.12</v>
      </c>
      <c r="AF54" s="20" t="s">
        <v>174</v>
      </c>
      <c r="AG54" s="21" t="str">
        <f>IF(AG62="Y",500000,IF(AG61="Y","300000","250000"))</f>
        <v>250000</v>
      </c>
      <c r="AH54" s="21">
        <f>AG54-AF54</f>
        <v>250000</v>
      </c>
    </row>
    <row r="55" spans="1:34" x14ac:dyDescent="0.25">
      <c r="A55" s="195" t="s">
        <v>46</v>
      </c>
      <c r="B55" s="196"/>
      <c r="C55" s="196"/>
      <c r="D55" s="196"/>
      <c r="E55" s="180"/>
      <c r="F55" s="244">
        <f>O57+P107+T60</f>
        <v>0</v>
      </c>
      <c r="G55" s="244">
        <f>T60</f>
        <v>0</v>
      </c>
      <c r="I55" s="199" t="s">
        <v>317</v>
      </c>
      <c r="J55" s="187"/>
      <c r="K55" s="187"/>
      <c r="L55" s="187"/>
      <c r="M55" s="188"/>
      <c r="N55" s="228">
        <v>0</v>
      </c>
      <c r="O55" s="251">
        <f>MIN(IF(N55="",0,N55),T9)</f>
        <v>0</v>
      </c>
      <c r="Q55" s="200" t="s">
        <v>8</v>
      </c>
      <c r="R55" s="201"/>
      <c r="S55" s="256"/>
      <c r="T55" s="247">
        <f>SUM(T51:T54)</f>
        <v>0</v>
      </c>
      <c r="V55" s="179" t="s">
        <v>473</v>
      </c>
      <c r="W55" s="180"/>
      <c r="X55" s="180"/>
      <c r="Y55" s="180"/>
      <c r="Z55" s="180"/>
      <c r="AA55" s="181"/>
      <c r="AB55" s="210">
        <v>0</v>
      </c>
      <c r="AF55" s="22" t="str">
        <f>IF(AG62="Y",0,IF(AG61="Y","300001","250001"))</f>
        <v>250001</v>
      </c>
      <c r="AG55" s="23">
        <f>IF(AG62="Y",0,500000)</f>
        <v>500000</v>
      </c>
      <c r="AH55" s="21">
        <f>IF(AG62="Y",0,IF(AG55="",0,AG55)-IF(AF55="",1,AF55)+1)</f>
        <v>250000</v>
      </c>
    </row>
    <row r="56" spans="1:34" x14ac:dyDescent="0.25">
      <c r="A56" s="197" t="s">
        <v>47</v>
      </c>
      <c r="B56" s="198"/>
      <c r="C56" s="198"/>
      <c r="D56" s="198"/>
      <c r="E56" s="198"/>
      <c r="F56" s="246">
        <f>MAX(F52-SUM(F53:F55),0)</f>
        <v>0</v>
      </c>
      <c r="G56" s="246">
        <f>MAX(G52-SUM(G53:G55),0)</f>
        <v>0</v>
      </c>
      <c r="I56" s="199" t="s">
        <v>318</v>
      </c>
      <c r="J56" s="187"/>
      <c r="K56" s="187"/>
      <c r="L56" s="187"/>
      <c r="M56" s="188"/>
      <c r="N56" s="228">
        <v>0</v>
      </c>
      <c r="O56" s="251">
        <f>MIN(IF(N56="",0,N56),T10)</f>
        <v>0</v>
      </c>
      <c r="Q56" s="300" t="s">
        <v>505</v>
      </c>
      <c r="V56" s="179" t="s">
        <v>79</v>
      </c>
      <c r="W56" s="180"/>
      <c r="X56" s="180"/>
      <c r="Y56" s="180"/>
      <c r="Z56" s="180"/>
      <c r="AA56" s="181"/>
      <c r="AB56" s="209">
        <v>0</v>
      </c>
      <c r="AF56" s="20" t="s">
        <v>221</v>
      </c>
      <c r="AG56" s="145" t="s">
        <v>259</v>
      </c>
      <c r="AH56" s="21">
        <f>AG56-AF56+1</f>
        <v>500000</v>
      </c>
    </row>
    <row r="57" spans="1:34" x14ac:dyDescent="0.25">
      <c r="A57" s="199" t="s">
        <v>248</v>
      </c>
      <c r="B57" s="180"/>
      <c r="C57" s="180"/>
      <c r="D57" s="180"/>
      <c r="E57" s="180"/>
      <c r="F57" s="244">
        <f>MAX(IF($AB$70="Y",($T$21-$Q$21)*IF($AB$71="&gt;25lacs",15%,IF($AB$71="10-25lacs",10%,7.5%))-T26,0),0)+P105+P106</f>
        <v>0</v>
      </c>
      <c r="G57" s="244">
        <f>MAX(IF($AB$70="Y",($T$21-$Q$21)*IF($AB$71="&gt;25lacs",15%,IF($AB$71="10-25lacs",10%,7.5%))-T26,0),0)+P105</f>
        <v>0</v>
      </c>
      <c r="I57" s="200" t="s">
        <v>65</v>
      </c>
      <c r="J57" s="201"/>
      <c r="K57" s="201"/>
      <c r="L57" s="201"/>
      <c r="M57" s="202"/>
      <c r="N57" s="247"/>
      <c r="O57" s="247">
        <f>SUM(O51:O56)</f>
        <v>0</v>
      </c>
      <c r="V57" s="179" t="s">
        <v>80</v>
      </c>
      <c r="W57" s="180"/>
      <c r="X57" s="180"/>
      <c r="Y57" s="180"/>
      <c r="Z57" s="180"/>
      <c r="AA57" s="181"/>
      <c r="AB57" s="209">
        <v>8.1500000000000003E-2</v>
      </c>
      <c r="AF57" s="146" t="s">
        <v>260</v>
      </c>
      <c r="AG57" s="145" t="s">
        <v>175</v>
      </c>
      <c r="AH57" s="24">
        <f>AG57-AF57+1</f>
        <v>9999000000</v>
      </c>
    </row>
    <row r="58" spans="1:34" x14ac:dyDescent="0.25">
      <c r="A58" s="199" t="s">
        <v>475</v>
      </c>
      <c r="B58" s="180"/>
      <c r="C58" s="180"/>
      <c r="D58" s="180"/>
      <c r="E58" s="180"/>
      <c r="F58" s="244">
        <f>AF42</f>
        <v>0</v>
      </c>
      <c r="G58" s="244">
        <f>AF42</f>
        <v>0</v>
      </c>
      <c r="I58" s="5" t="s">
        <v>49</v>
      </c>
      <c r="J58" s="29"/>
      <c r="K58" s="29"/>
      <c r="L58" s="29"/>
      <c r="M58" s="30"/>
      <c r="N58" s="249" t="s">
        <v>62</v>
      </c>
      <c r="O58" s="250" t="s">
        <v>63</v>
      </c>
      <c r="Q58" s="5" t="s">
        <v>583</v>
      </c>
      <c r="R58" s="6"/>
      <c r="S58" s="6"/>
      <c r="T58" s="7" t="s">
        <v>589</v>
      </c>
      <c r="V58" s="179" t="s">
        <v>369</v>
      </c>
      <c r="W58" s="180"/>
      <c r="X58" s="180"/>
      <c r="Y58" s="180"/>
      <c r="Z58" s="180"/>
      <c r="AA58" s="181"/>
      <c r="AB58" s="206" t="s">
        <v>81</v>
      </c>
    </row>
    <row r="59" spans="1:34" x14ac:dyDescent="0.25">
      <c r="A59" s="200" t="s">
        <v>48</v>
      </c>
      <c r="B59" s="201"/>
      <c r="C59" s="201"/>
      <c r="D59" s="201"/>
      <c r="E59" s="201"/>
      <c r="F59" s="247">
        <f>SUM(F56:F58)</f>
        <v>0</v>
      </c>
      <c r="G59" s="247">
        <f>SUM(G56:G58)</f>
        <v>0</v>
      </c>
      <c r="I59" s="199" t="s">
        <v>446</v>
      </c>
      <c r="J59" s="187"/>
      <c r="K59" s="187"/>
      <c r="L59" s="187"/>
      <c r="M59" s="188"/>
      <c r="N59" s="228">
        <v>0</v>
      </c>
      <c r="O59" s="251">
        <f>IF(N59="",0,N59)</f>
        <v>0</v>
      </c>
      <c r="Q59" s="199" t="s">
        <v>588</v>
      </c>
      <c r="R59" s="187"/>
      <c r="S59" s="187"/>
      <c r="T59" s="228">
        <v>0</v>
      </c>
      <c r="V59" s="182" t="s">
        <v>82</v>
      </c>
      <c r="W59" s="183"/>
      <c r="X59" s="183"/>
      <c r="Y59" s="183"/>
      <c r="Z59" s="183"/>
      <c r="AA59" s="183"/>
      <c r="AB59" s="141"/>
      <c r="AE59" s="154"/>
    </row>
    <row r="60" spans="1:34" x14ac:dyDescent="0.25">
      <c r="A60" s="199" t="s">
        <v>205</v>
      </c>
      <c r="B60" s="180"/>
      <c r="C60" s="180"/>
      <c r="D60" s="180"/>
      <c r="E60" s="180"/>
      <c r="F60" s="244">
        <f>MAX(O59-O60,-AG65,-O60)</f>
        <v>0</v>
      </c>
      <c r="G60" s="244">
        <f>O59</f>
        <v>0</v>
      </c>
      <c r="I60" s="199" t="s">
        <v>66</v>
      </c>
      <c r="J60" s="187"/>
      <c r="K60" s="187"/>
      <c r="L60" s="187"/>
      <c r="M60" s="188"/>
      <c r="N60" s="228">
        <v>0</v>
      </c>
      <c r="O60" s="251">
        <f>IF(AB60="N",N60,IF(AB61="N",MIN(IF(N60="",0,N60),30000),MIN(IF(N60="",0,N60),200000+IF(AB62="Y",150000,0))))</f>
        <v>0</v>
      </c>
      <c r="Q60" s="199" t="s">
        <v>586</v>
      </c>
      <c r="R60" s="187"/>
      <c r="S60" s="187"/>
      <c r="T60" s="228">
        <v>0</v>
      </c>
      <c r="V60" s="179" t="s">
        <v>83</v>
      </c>
      <c r="W60" s="180"/>
      <c r="X60" s="180"/>
      <c r="Y60" s="180"/>
      <c r="Z60" s="180"/>
      <c r="AA60" s="181"/>
      <c r="AB60" s="206" t="s">
        <v>32</v>
      </c>
    </row>
    <row r="61" spans="1:34" x14ac:dyDescent="0.25">
      <c r="A61" s="199" t="s">
        <v>207</v>
      </c>
      <c r="B61" s="180"/>
      <c r="C61" s="180"/>
      <c r="D61" s="180"/>
      <c r="E61" s="180"/>
      <c r="F61" s="244">
        <f>MAX(AI69,0)</f>
        <v>0</v>
      </c>
      <c r="G61" s="244">
        <f>MAX(AI69,0)</f>
        <v>0</v>
      </c>
      <c r="I61" s="199" t="s">
        <v>308</v>
      </c>
      <c r="J61" s="196"/>
      <c r="K61" s="196"/>
      <c r="L61" s="196"/>
      <c r="M61" s="196"/>
      <c r="N61" s="228">
        <v>0</v>
      </c>
      <c r="O61" s="251">
        <f>IF(N61="",0,N61)</f>
        <v>0</v>
      </c>
      <c r="Q61" s="300" t="s">
        <v>584</v>
      </c>
      <c r="V61" s="179" t="s">
        <v>84</v>
      </c>
      <c r="W61" s="180"/>
      <c r="X61" s="180"/>
      <c r="Y61" s="180"/>
      <c r="Z61" s="180"/>
      <c r="AA61" s="181"/>
      <c r="AB61" s="206" t="s">
        <v>32</v>
      </c>
      <c r="AF61" s="154" t="s">
        <v>323</v>
      </c>
      <c r="AG61" s="192" t="str">
        <f>IF(ISNUMBER(Instructions!B8),IF(Instructions!B8&lt;=Perquisites!P13,"Y","N"),"N")</f>
        <v>N</v>
      </c>
    </row>
    <row r="62" spans="1:34" x14ac:dyDescent="0.25">
      <c r="A62" s="199" t="s">
        <v>206</v>
      </c>
      <c r="B62" s="180"/>
      <c r="C62" s="180"/>
      <c r="D62" s="180"/>
      <c r="E62" s="180"/>
      <c r="F62" s="244">
        <f>O64+O62+O61</f>
        <v>0</v>
      </c>
      <c r="G62" s="244">
        <f>O64+O62+O61</f>
        <v>0</v>
      </c>
      <c r="I62" s="203" t="s">
        <v>429</v>
      </c>
      <c r="J62" s="204"/>
      <c r="K62" s="204"/>
      <c r="L62" s="204"/>
      <c r="M62" s="204"/>
      <c r="N62" s="262">
        <v>0</v>
      </c>
      <c r="O62" s="251">
        <f>IF(N62="",0,N62)</f>
        <v>0</v>
      </c>
      <c r="Q62" s="300" t="s">
        <v>585</v>
      </c>
      <c r="V62" s="179" t="s">
        <v>562</v>
      </c>
      <c r="W62" s="180"/>
      <c r="X62" s="180"/>
      <c r="Y62" s="180"/>
      <c r="Z62" s="180"/>
      <c r="AA62" s="181"/>
      <c r="AB62" s="206" t="s">
        <v>33</v>
      </c>
      <c r="AF62" s="154" t="s">
        <v>324</v>
      </c>
      <c r="AG62" s="192" t="str">
        <f>IF(ISNUMBER(Instructions!B8),IF(Instructions!B8&lt;=Perquisites!P14,"Y","N"),"N")</f>
        <v>N</v>
      </c>
    </row>
    <row r="63" spans="1:34" x14ac:dyDescent="0.25">
      <c r="A63" s="199" t="s">
        <v>470</v>
      </c>
      <c r="B63" s="180"/>
      <c r="C63" s="180"/>
      <c r="D63" s="180"/>
      <c r="E63" s="180"/>
      <c r="F63" s="244">
        <f>O63</f>
        <v>0</v>
      </c>
      <c r="G63" s="244">
        <f>O63</f>
        <v>0</v>
      </c>
      <c r="I63" s="199" t="s">
        <v>472</v>
      </c>
      <c r="J63" s="187"/>
      <c r="K63" s="187"/>
      <c r="L63" s="187"/>
      <c r="M63" s="188"/>
      <c r="N63" s="228">
        <v>0</v>
      </c>
      <c r="O63" s="251">
        <f>IF(N63="",0,N63)+TDS!D206</f>
        <v>0</v>
      </c>
      <c r="V63" s="182" t="s">
        <v>85</v>
      </c>
      <c r="W63" s="183"/>
      <c r="X63" s="183"/>
      <c r="Y63" s="183"/>
      <c r="Z63" s="183"/>
      <c r="AA63" s="183"/>
      <c r="AB63" s="141"/>
    </row>
    <row r="64" spans="1:34" x14ac:dyDescent="0.25">
      <c r="A64" s="200" t="s">
        <v>50</v>
      </c>
      <c r="B64" s="201"/>
      <c r="C64" s="201"/>
      <c r="D64" s="201"/>
      <c r="E64" s="201"/>
      <c r="F64" s="247">
        <f>MAX(SUM(F59:F63),0)</f>
        <v>0</v>
      </c>
      <c r="G64" s="247">
        <f>MAX(SUM(G59:G63),0)</f>
        <v>0</v>
      </c>
      <c r="I64" s="199" t="s">
        <v>430</v>
      </c>
      <c r="J64" s="187"/>
      <c r="K64" s="187"/>
      <c r="L64" s="187"/>
      <c r="M64" s="188"/>
      <c r="N64" s="228">
        <v>0</v>
      </c>
      <c r="O64" s="251">
        <f>IF(N64="",0,N64)</f>
        <v>0</v>
      </c>
      <c r="V64" s="184" t="s">
        <v>447</v>
      </c>
      <c r="W64" s="185"/>
      <c r="X64" s="185"/>
      <c r="Y64" s="185"/>
      <c r="Z64" s="185"/>
      <c r="AA64" s="186"/>
      <c r="AB64" s="211" t="s">
        <v>33</v>
      </c>
    </row>
    <row r="65" spans="1:39" x14ac:dyDescent="0.25">
      <c r="A65" s="199" t="s">
        <v>51</v>
      </c>
      <c r="B65" s="180"/>
      <c r="C65" s="180"/>
      <c r="D65" s="180"/>
      <c r="E65" s="180"/>
      <c r="F65" s="244">
        <f>O79</f>
        <v>0</v>
      </c>
      <c r="G65" s="244">
        <v>0</v>
      </c>
      <c r="I65" s="199" t="s">
        <v>207</v>
      </c>
      <c r="J65" s="187"/>
      <c r="K65" s="187"/>
      <c r="L65" s="187"/>
      <c r="M65" s="188"/>
      <c r="N65" s="228">
        <v>0</v>
      </c>
      <c r="O65" s="251">
        <f>IF(N65="",0,N65)</f>
        <v>0</v>
      </c>
      <c r="V65" s="184" t="s">
        <v>450</v>
      </c>
      <c r="W65" s="185"/>
      <c r="X65" s="185"/>
      <c r="Y65" s="185"/>
      <c r="Z65" s="185"/>
      <c r="AA65" s="186"/>
      <c r="AB65" s="211" t="s">
        <v>33</v>
      </c>
      <c r="AF65" s="154" t="s">
        <v>431</v>
      </c>
      <c r="AG65" s="25">
        <f>IF(AB61="N",30000,200000+IF(AB62="Y",150000,0))</f>
        <v>200000</v>
      </c>
    </row>
    <row r="66" spans="1:39" x14ac:dyDescent="0.25">
      <c r="A66" s="199" t="s">
        <v>52</v>
      </c>
      <c r="B66" s="180"/>
      <c r="C66" s="180"/>
      <c r="D66" s="180"/>
      <c r="E66" s="180"/>
      <c r="F66" s="244">
        <f>O90</f>
        <v>0</v>
      </c>
      <c r="G66" s="244">
        <f>O88</f>
        <v>0</v>
      </c>
      <c r="I66" s="199" t="s">
        <v>546</v>
      </c>
      <c r="J66" s="187"/>
      <c r="K66" s="187"/>
      <c r="L66" s="187"/>
      <c r="M66" s="188"/>
      <c r="N66" s="228">
        <v>0</v>
      </c>
      <c r="O66" s="251">
        <f>IF(N66="",0,N66)</f>
        <v>0</v>
      </c>
      <c r="V66" s="179" t="s">
        <v>86</v>
      </c>
      <c r="W66" s="187"/>
      <c r="X66" s="187"/>
      <c r="Y66" s="187"/>
      <c r="Z66" s="187"/>
      <c r="AA66" s="188"/>
      <c r="AB66" s="211" t="s">
        <v>33</v>
      </c>
    </row>
    <row r="67" spans="1:39" x14ac:dyDescent="0.25">
      <c r="A67" s="9" t="s">
        <v>53</v>
      </c>
      <c r="B67" s="10"/>
      <c r="C67" s="10"/>
      <c r="D67" s="10"/>
      <c r="E67" s="10"/>
      <c r="F67" s="248">
        <f>ROUND(MAX(F64-SUM(F65:F66),0),-1)</f>
        <v>0</v>
      </c>
      <c r="G67" s="248">
        <f>ROUND(MAX(G64-SUM(G65:G66),0),-1)</f>
        <v>0</v>
      </c>
      <c r="I67" s="5" t="s">
        <v>67</v>
      </c>
      <c r="J67" s="29"/>
      <c r="K67" s="29"/>
      <c r="L67" s="29"/>
      <c r="M67" s="30"/>
      <c r="N67" s="249" t="s">
        <v>62</v>
      </c>
      <c r="O67" s="250" t="s">
        <v>63</v>
      </c>
      <c r="V67" s="179" t="s">
        <v>244</v>
      </c>
      <c r="W67" s="187"/>
      <c r="X67" s="187"/>
      <c r="Y67" s="187"/>
      <c r="Z67" s="187"/>
      <c r="AA67" s="188"/>
      <c r="AB67" s="211" t="s">
        <v>33</v>
      </c>
      <c r="AF67" s="154"/>
      <c r="AG67" s="293" t="s">
        <v>487</v>
      </c>
      <c r="AJ67" s="293" t="s">
        <v>488</v>
      </c>
      <c r="AK67" s="293"/>
    </row>
    <row r="68" spans="1:39" x14ac:dyDescent="0.25">
      <c r="I68" s="199" t="s">
        <v>545</v>
      </c>
      <c r="J68" s="187"/>
      <c r="K68" s="187"/>
      <c r="L68" s="187"/>
      <c r="M68" s="188"/>
      <c r="N68" s="228">
        <v>0</v>
      </c>
      <c r="O68" s="251">
        <f>MIN(IF(N68="",0,N68),IF(AB64="Y",50000,25000))</f>
        <v>0</v>
      </c>
      <c r="V68" s="179" t="s">
        <v>87</v>
      </c>
      <c r="W68" s="187"/>
      <c r="X68" s="187"/>
      <c r="Y68" s="187"/>
      <c r="Z68" s="187"/>
      <c r="AA68" s="188"/>
      <c r="AB68" s="211" t="s">
        <v>33</v>
      </c>
      <c r="AF68" s="264" t="s">
        <v>456</v>
      </c>
      <c r="AG68" s="270">
        <f>F67-F61</f>
        <v>0</v>
      </c>
      <c r="AH68" s="270"/>
      <c r="AI68" s="274"/>
      <c r="AJ68" s="270">
        <f>G67-G61</f>
        <v>0</v>
      </c>
      <c r="AK68" s="270"/>
      <c r="AL68" s="270"/>
    </row>
    <row r="69" spans="1:39" x14ac:dyDescent="0.25">
      <c r="A69" s="199" t="s">
        <v>486</v>
      </c>
      <c r="B69" s="180"/>
      <c r="C69" s="180"/>
      <c r="D69" s="180"/>
      <c r="E69" s="180"/>
      <c r="F69" s="244">
        <f>AO22</f>
        <v>0</v>
      </c>
      <c r="G69" s="244">
        <f>AO32</f>
        <v>0</v>
      </c>
      <c r="I69" s="199" t="s">
        <v>449</v>
      </c>
      <c r="J69" s="187"/>
      <c r="K69" s="187"/>
      <c r="L69" s="187"/>
      <c r="M69" s="188"/>
      <c r="N69" s="228">
        <v>0</v>
      </c>
      <c r="O69" s="251">
        <f>MIN(IF(N69="",0,N69),IF(AB65="Y",50000,25000))</f>
        <v>0</v>
      </c>
      <c r="V69" s="179" t="s">
        <v>226</v>
      </c>
      <c r="W69" s="187"/>
      <c r="X69" s="187"/>
      <c r="Y69" s="187"/>
      <c r="Z69" s="187"/>
      <c r="AA69" s="188"/>
      <c r="AB69" s="211" t="s">
        <v>33</v>
      </c>
      <c r="AF69" s="264" t="s">
        <v>455</v>
      </c>
      <c r="AG69" s="273">
        <f>O65+'Cap Gains - Property&amp;Debt MF'!G14+'Cap Gains - Property&amp;Debt MF'!G124</f>
        <v>0</v>
      </c>
      <c r="AH69" s="270">
        <f>IF(AG69&lt;0,IF(AG71&gt;0,IF(ABS(AG69)&lt;AG71,0,AG69+AG71),AG69),IF(AG71&gt;0,AG69,IF(ABS(AG71)&gt;AG69,0,AG69+AG71)))</f>
        <v>0</v>
      </c>
      <c r="AI69" s="270">
        <f>IF(AH69&lt;0,IF(AH79&lt;=0,AH69,MIN(AH69+AH79,0)),AH69)</f>
        <v>0</v>
      </c>
      <c r="AJ69" s="270">
        <f>AG69</f>
        <v>0</v>
      </c>
      <c r="AK69" s="270"/>
      <c r="AL69" s="270"/>
      <c r="AM69" s="255"/>
    </row>
    <row r="70" spans="1:39" x14ac:dyDescent="0.25">
      <c r="A70" s="173" t="s">
        <v>485</v>
      </c>
      <c r="B70" s="174"/>
      <c r="C70" s="174"/>
      <c r="D70" s="174"/>
      <c r="E70" s="174"/>
      <c r="F70" s="252">
        <f>AN22-F69</f>
        <v>0</v>
      </c>
      <c r="G70" s="252">
        <f>AN32-G69</f>
        <v>0</v>
      </c>
      <c r="I70" s="199" t="s">
        <v>311</v>
      </c>
      <c r="J70" s="187"/>
      <c r="K70" s="187"/>
      <c r="L70" s="187"/>
      <c r="M70" s="188"/>
      <c r="N70" s="228">
        <v>0</v>
      </c>
      <c r="O70" s="251">
        <f>MIN(IF(N70="",0,N70),IF(AB67="Y",125000,75000))</f>
        <v>0</v>
      </c>
      <c r="V70" s="179" t="s">
        <v>88</v>
      </c>
      <c r="W70" s="187"/>
      <c r="X70" s="187"/>
      <c r="Y70" s="187"/>
      <c r="Z70" s="187"/>
      <c r="AA70" s="188"/>
      <c r="AB70" s="211" t="s">
        <v>33</v>
      </c>
      <c r="AF70" s="264" t="s">
        <v>454</v>
      </c>
      <c r="AG70" s="273">
        <f ca="1">MAX('Cap Gains - Property&amp;Debt MF'!G15-T59,0)+'Cap Gains - Property&amp;Debt MF'!G125</f>
        <v>0</v>
      </c>
      <c r="AH70" s="270">
        <f ca="1">IF(AG70&lt;0,IF(AG72&gt;0,IF(ABS(AG70)&lt;AG72,0,AG70+AG72),AG70),IF(AG72&gt;0,AG70,IF(ABS(AG72)&gt;AG70,0,AG70+AG72)))</f>
        <v>0</v>
      </c>
      <c r="AI70" s="270">
        <f ca="1">IF(AG70&gt;=0,MAX(AH70-(AH79-AI79),0),MAX(AH70-(AH79-AI79),AG70))</f>
        <v>0</v>
      </c>
      <c r="AJ70" s="270">
        <f ca="1">AG70</f>
        <v>0</v>
      </c>
      <c r="AK70" s="270"/>
      <c r="AL70" s="270"/>
      <c r="AM70" s="255"/>
    </row>
    <row r="71" spans="1:39" x14ac:dyDescent="0.25">
      <c r="A71" s="199" t="s">
        <v>433</v>
      </c>
      <c r="B71" s="180"/>
      <c r="C71" s="180"/>
      <c r="D71" s="180"/>
      <c r="E71" s="180"/>
      <c r="F71" s="244">
        <f ca="1">MAX(AI70*20%,0)</f>
        <v>0</v>
      </c>
      <c r="G71" s="244">
        <f ca="1">MAX(AI70*20%,0)</f>
        <v>0</v>
      </c>
      <c r="H71" s="122"/>
      <c r="I71" s="199" t="s">
        <v>312</v>
      </c>
      <c r="J71" s="187"/>
      <c r="K71" s="187"/>
      <c r="L71" s="187"/>
      <c r="M71" s="188"/>
      <c r="N71" s="228">
        <v>0</v>
      </c>
      <c r="O71" s="251">
        <f>MIN(IF(N71="",0,N71),IF(AB66="Y",100000,40000))</f>
        <v>0</v>
      </c>
      <c r="V71" s="189" t="s">
        <v>436</v>
      </c>
      <c r="W71" s="190"/>
      <c r="X71" s="190"/>
      <c r="Y71" s="190"/>
      <c r="Z71" s="190"/>
      <c r="AA71" s="191"/>
      <c r="AB71" s="211" t="s">
        <v>379</v>
      </c>
      <c r="AF71" s="264" t="s">
        <v>453</v>
      </c>
      <c r="AG71" s="273">
        <f>'Capital Gains - Equity'!I158</f>
        <v>0</v>
      </c>
      <c r="AH71" s="270">
        <f>AG71+(AG69-AH69)</f>
        <v>0</v>
      </c>
      <c r="AI71" s="270">
        <f>AI77-AI69</f>
        <v>0</v>
      </c>
      <c r="AJ71" s="270">
        <f>AG71</f>
        <v>0</v>
      </c>
      <c r="AK71" s="270"/>
      <c r="AL71" s="270"/>
      <c r="AM71" s="255"/>
    </row>
    <row r="72" spans="1:39" x14ac:dyDescent="0.25">
      <c r="A72" s="199" t="s">
        <v>434</v>
      </c>
      <c r="B72" s="180"/>
      <c r="C72" s="180"/>
      <c r="D72" s="180"/>
      <c r="E72" s="180"/>
      <c r="F72" s="244">
        <f>MAX(AI71*15%,0)</f>
        <v>0</v>
      </c>
      <c r="G72" s="244">
        <f>MAX(AI71*15%,0)</f>
        <v>0</v>
      </c>
      <c r="I72" s="199" t="s">
        <v>313</v>
      </c>
      <c r="J72" s="187"/>
      <c r="K72" s="187"/>
      <c r="L72" s="187"/>
      <c r="M72" s="188"/>
      <c r="N72" s="228">
        <v>0</v>
      </c>
      <c r="O72" s="251">
        <f>MAX(IF(N72="",0,N72),0)</f>
        <v>0</v>
      </c>
      <c r="V72" s="189" t="s">
        <v>246</v>
      </c>
      <c r="W72" s="190"/>
      <c r="X72" s="190"/>
      <c r="Y72" s="190"/>
      <c r="Z72" s="190"/>
      <c r="AA72" s="191"/>
      <c r="AB72" s="211" t="s">
        <v>33</v>
      </c>
      <c r="AF72" s="264" t="s">
        <v>452</v>
      </c>
      <c r="AG72" s="273">
        <f>MAX('Capital Gains - Equity'!I159-100000,0)</f>
        <v>0</v>
      </c>
      <c r="AH72" s="270">
        <f ca="1">AG72+(AG70-AH70)</f>
        <v>0</v>
      </c>
      <c r="AI72" s="270">
        <f ca="1">AI79-AI70</f>
        <v>0</v>
      </c>
      <c r="AJ72" s="270">
        <f>AG72</f>
        <v>0</v>
      </c>
      <c r="AK72" s="270"/>
      <c r="AL72" s="270"/>
      <c r="AM72" s="255"/>
    </row>
    <row r="73" spans="1:39" x14ac:dyDescent="0.25">
      <c r="A73" s="199" t="s">
        <v>482</v>
      </c>
      <c r="B73" s="180"/>
      <c r="C73" s="180"/>
      <c r="D73" s="180"/>
      <c r="E73" s="180"/>
      <c r="F73" s="244">
        <f ca="1">MAX(AI72*10%,0)</f>
        <v>0</v>
      </c>
      <c r="G73" s="244">
        <f ca="1">MAX(AI72*10%,0)</f>
        <v>0</v>
      </c>
      <c r="I73" s="199" t="s">
        <v>471</v>
      </c>
      <c r="J73" s="187"/>
      <c r="K73" s="187"/>
      <c r="L73" s="187"/>
      <c r="M73" s="188"/>
      <c r="N73" s="228">
        <v>0</v>
      </c>
      <c r="O73" s="251">
        <f>MIN(IF(N73="",0,N73),IF(AB75="Y",150000,0))</f>
        <v>0</v>
      </c>
      <c r="R73" s="255"/>
      <c r="V73" s="189" t="s">
        <v>250</v>
      </c>
      <c r="W73" s="190"/>
      <c r="X73" s="190"/>
      <c r="Y73" s="190"/>
      <c r="Z73" s="190"/>
      <c r="AA73" s="191"/>
      <c r="AB73" s="211" t="s">
        <v>33</v>
      </c>
      <c r="AF73" s="264" t="s">
        <v>551</v>
      </c>
      <c r="AG73" s="255">
        <f>O66</f>
        <v>0</v>
      </c>
      <c r="AH73" s="270"/>
      <c r="AI73" s="270"/>
      <c r="AJ73" s="270">
        <f>AG73</f>
        <v>0</v>
      </c>
      <c r="AK73" s="270"/>
      <c r="AL73" s="270"/>
      <c r="AM73" s="255"/>
    </row>
    <row r="74" spans="1:39" ht="13.5" thickBot="1" x14ac:dyDescent="0.3">
      <c r="A74" s="199" t="s">
        <v>550</v>
      </c>
      <c r="B74" s="180"/>
      <c r="C74" s="180"/>
      <c r="D74" s="180"/>
      <c r="E74" s="180"/>
      <c r="F74" s="244">
        <f>MAX(O66*30%,0)</f>
        <v>0</v>
      </c>
      <c r="G74" s="244">
        <f>MAX(O66*30%,0)</f>
        <v>0</v>
      </c>
      <c r="I74" s="199" t="s">
        <v>68</v>
      </c>
      <c r="J74" s="187"/>
      <c r="K74" s="187"/>
      <c r="L74" s="187"/>
      <c r="M74" s="188"/>
      <c r="N74" s="244"/>
      <c r="O74" s="251">
        <f>T55</f>
        <v>0</v>
      </c>
      <c r="R74" s="255"/>
      <c r="V74" s="189" t="s">
        <v>544</v>
      </c>
      <c r="W74" s="190"/>
      <c r="X74" s="190"/>
      <c r="Y74" s="190"/>
      <c r="Z74" s="190"/>
      <c r="AA74" s="191"/>
      <c r="AB74" s="211" t="s">
        <v>33</v>
      </c>
      <c r="AF74" s="264" t="s">
        <v>432</v>
      </c>
      <c r="AG74" s="294">
        <f ca="1">SUM(AG68:AG73)</f>
        <v>0</v>
      </c>
      <c r="AJ74" s="294">
        <f ca="1">SUM(AJ68:AJ73)</f>
        <v>0</v>
      </c>
      <c r="AK74" s="273"/>
      <c r="AL74" s="255"/>
      <c r="AM74" s="255"/>
    </row>
    <row r="75" spans="1:39" ht="13.5" thickTop="1" x14ac:dyDescent="0.25">
      <c r="A75" s="199" t="s">
        <v>273</v>
      </c>
      <c r="B75" s="180"/>
      <c r="C75" s="180"/>
      <c r="D75" s="180"/>
      <c r="E75" s="180"/>
      <c r="F75" s="244">
        <f ca="1">IF(AG74&gt;AF14,AJ14,IF(AG74&gt;AF13,AJ13,IF(AG74&gt;AF12,AJ12,IF(AG74&gt;AF11,AJ11,0))))</f>
        <v>0</v>
      </c>
      <c r="G75" s="244">
        <f ca="1">IF(AJ74&gt;AM13,AQ13,IF(AJ74&gt;AM12,AQ12,IF(AJ74&gt;AM11,AQ11,0)))</f>
        <v>0</v>
      </c>
      <c r="I75" s="199" t="s">
        <v>69</v>
      </c>
      <c r="J75" s="187"/>
      <c r="K75" s="187"/>
      <c r="L75" s="187"/>
      <c r="M75" s="188"/>
      <c r="N75" s="228">
        <v>0</v>
      </c>
      <c r="O75" s="251">
        <f>MAX(MIN(N75-0.1*G59,0.25*G59,60000),0)</f>
        <v>0</v>
      </c>
      <c r="R75" s="255"/>
      <c r="V75" s="189" t="s">
        <v>464</v>
      </c>
      <c r="W75" s="190"/>
      <c r="X75" s="190"/>
      <c r="Y75" s="190"/>
      <c r="Z75" s="190"/>
      <c r="AA75" s="191"/>
      <c r="AB75" s="211" t="s">
        <v>33</v>
      </c>
    </row>
    <row r="76" spans="1:39" x14ac:dyDescent="0.25">
      <c r="A76" s="199" t="s">
        <v>426</v>
      </c>
      <c r="B76" s="180"/>
      <c r="C76" s="180"/>
      <c r="D76" s="180"/>
      <c r="E76" s="180"/>
      <c r="F76" s="244">
        <f ca="1">SUM(F70:F75)*4%</f>
        <v>0</v>
      </c>
      <c r="G76" s="244">
        <f ca="1">SUM(G70:G75)*4%</f>
        <v>0</v>
      </c>
      <c r="H76" s="255"/>
      <c r="I76" s="203" t="str">
        <f>IF(AG61="Y","Bank interest exemption (sec 80TTB)","Bank interest exemption (sec 80TTA)")</f>
        <v>Bank interest exemption (sec 80TTA)</v>
      </c>
      <c r="J76" s="204"/>
      <c r="K76" s="204"/>
      <c r="L76" s="204"/>
      <c r="M76" s="204"/>
      <c r="N76" s="244"/>
      <c r="O76" s="251">
        <f>IF(OR(AG61="Y",AG62="Y"),MIN(IF(N61="",0,N61)+IF(N62="",0,N62),50000),MIN(IF(N61="",0,N61),10000))</f>
        <v>0</v>
      </c>
      <c r="R76" s="255"/>
      <c r="AF76" s="264" t="s">
        <v>457</v>
      </c>
      <c r="AG76" s="273">
        <f>IF(AG69&lt;0,AG69,0)+IF(AG71&lt;0,AG71,0)</f>
        <v>0</v>
      </c>
      <c r="AH76" s="270"/>
      <c r="AI76" s="270"/>
      <c r="AJ76" s="270"/>
      <c r="AK76" s="270"/>
      <c r="AL76" s="270"/>
    </row>
    <row r="77" spans="1:39" x14ac:dyDescent="0.25">
      <c r="A77" s="193" t="s">
        <v>57</v>
      </c>
      <c r="B77" s="194"/>
      <c r="C77" s="194"/>
      <c r="D77" s="194"/>
      <c r="E77" s="194"/>
      <c r="F77" s="253">
        <f ca="1">SUM(F70:F76)</f>
        <v>0</v>
      </c>
      <c r="G77" s="253">
        <f ca="1">MIN(SUM(G70:G76),(MAX(0,G67-700000)))</f>
        <v>0</v>
      </c>
      <c r="H77" s="255"/>
      <c r="I77" s="199" t="s">
        <v>309</v>
      </c>
      <c r="J77" s="187"/>
      <c r="K77" s="187"/>
      <c r="L77" s="187"/>
      <c r="M77" s="188"/>
      <c r="N77" s="244"/>
      <c r="O77" s="251">
        <f>IF(AB68="Y",IF(AB69="Y",125000,75000),0)</f>
        <v>0</v>
      </c>
      <c r="R77" s="255"/>
      <c r="AF77" s="264" t="s">
        <v>223</v>
      </c>
      <c r="AG77" s="273">
        <f>IF(AG69&gt;0,AG69,0)+IF(AG71&gt;0,AG71,0)</f>
        <v>0</v>
      </c>
      <c r="AH77" s="270">
        <f>SUM(AG76:AG77)</f>
        <v>0</v>
      </c>
      <c r="AI77" s="270">
        <f>IF(AH77&lt;0,IF(ABS(AH77)&lt;AH79,0,IF(AH79&gt;0,AH77+AH79,AH77)),AH77)</f>
        <v>0</v>
      </c>
      <c r="AJ77" s="270"/>
      <c r="AK77" s="270"/>
      <c r="AL77" s="270"/>
    </row>
    <row r="78" spans="1:39" x14ac:dyDescent="0.25">
      <c r="A78" s="199" t="s">
        <v>58</v>
      </c>
      <c r="B78" s="180"/>
      <c r="C78" s="180"/>
      <c r="D78" s="180"/>
      <c r="E78" s="180"/>
      <c r="F78" s="243"/>
      <c r="G78" s="244">
        <f>T25</f>
        <v>0</v>
      </c>
      <c r="H78" s="255"/>
      <c r="I78" s="199" t="s">
        <v>310</v>
      </c>
      <c r="J78" s="187"/>
      <c r="K78" s="187"/>
      <c r="L78" s="187"/>
      <c r="M78" s="188"/>
      <c r="N78" s="228">
        <v>0</v>
      </c>
      <c r="O78" s="251">
        <f>IF(N78="",0,N78)</f>
        <v>0</v>
      </c>
      <c r="R78" s="255"/>
      <c r="AF78" s="264" t="s">
        <v>458</v>
      </c>
      <c r="AG78" s="273">
        <f ca="1">IF(AG70&lt;0,AG70,0)+IF(AG72&lt;0,AG72,0)</f>
        <v>0</v>
      </c>
      <c r="AH78" s="270"/>
      <c r="AI78" s="270"/>
      <c r="AJ78" s="270"/>
      <c r="AK78" s="270"/>
    </row>
    <row r="79" spans="1:39" x14ac:dyDescent="0.25">
      <c r="A79" s="197" t="s">
        <v>59</v>
      </c>
      <c r="B79" s="198"/>
      <c r="C79" s="198"/>
      <c r="D79" s="198"/>
      <c r="E79" s="198"/>
      <c r="F79" s="245"/>
      <c r="G79" s="228">
        <v>0</v>
      </c>
      <c r="I79" s="200" t="s">
        <v>70</v>
      </c>
      <c r="J79" s="201"/>
      <c r="K79" s="201"/>
      <c r="L79" s="201"/>
      <c r="M79" s="202"/>
      <c r="N79" s="256"/>
      <c r="O79" s="247">
        <f>SUM(O68:O78)</f>
        <v>0</v>
      </c>
      <c r="R79" s="255"/>
      <c r="AF79" s="264" t="s">
        <v>224</v>
      </c>
      <c r="AG79" s="273">
        <f ca="1">IF(AG70&gt;0,AG70,0)+IF(AG72&gt;0,AG72,0)</f>
        <v>0</v>
      </c>
      <c r="AH79" s="270">
        <f ca="1">SUM(AG78:AG79)</f>
        <v>0</v>
      </c>
      <c r="AI79" s="270">
        <f ca="1">AH79+(AH77-AI77)</f>
        <v>0</v>
      </c>
      <c r="AJ79" s="270"/>
      <c r="AK79" s="270"/>
      <c r="AL79" s="270"/>
    </row>
    <row r="80" spans="1:39" x14ac:dyDescent="0.25">
      <c r="A80" s="199" t="s">
        <v>530</v>
      </c>
      <c r="B80" s="180"/>
      <c r="C80" s="180"/>
      <c r="D80" s="180"/>
      <c r="E80" s="180"/>
      <c r="F80" s="243"/>
      <c r="G80" s="244">
        <f>TDS!C206</f>
        <v>0</v>
      </c>
      <c r="I80" s="5" t="s">
        <v>71</v>
      </c>
      <c r="J80" s="29"/>
      <c r="K80" s="29"/>
      <c r="L80" s="29"/>
      <c r="M80" s="30"/>
      <c r="N80" s="249" t="s">
        <v>62</v>
      </c>
      <c r="O80" s="250" t="s">
        <v>63</v>
      </c>
      <c r="R80" s="255"/>
      <c r="AH80" s="270"/>
      <c r="AL80" s="270"/>
    </row>
    <row r="81" spans="1:18" ht="13.5" customHeight="1" x14ac:dyDescent="0.25">
      <c r="A81" s="173" t="s">
        <v>60</v>
      </c>
      <c r="B81" s="174"/>
      <c r="C81" s="174"/>
      <c r="D81" s="174"/>
      <c r="E81" s="174"/>
      <c r="F81" s="252">
        <f ca="1">F77-SUM(G78:G80)</f>
        <v>0</v>
      </c>
      <c r="G81" s="252">
        <f ca="1">G77-SUM(G78:G80)</f>
        <v>0</v>
      </c>
      <c r="I81" s="199" t="s">
        <v>378</v>
      </c>
      <c r="J81" s="187"/>
      <c r="K81" s="187"/>
      <c r="L81" s="187"/>
      <c r="M81" s="188"/>
      <c r="N81" s="228">
        <v>0</v>
      </c>
      <c r="O81" s="251">
        <f>MIN(IF(N81="",0,MIN(N81,(T3+T4)*10%+50000)),200000)</f>
        <v>0</v>
      </c>
      <c r="R81" s="255"/>
    </row>
    <row r="82" spans="1:18" ht="12.75" customHeight="1" x14ac:dyDescent="0.25">
      <c r="I82" s="199" t="s">
        <v>367</v>
      </c>
      <c r="J82" s="187"/>
      <c r="K82" s="187"/>
      <c r="L82" s="187"/>
      <c r="M82" s="188"/>
      <c r="N82" s="228">
        <v>0</v>
      </c>
      <c r="O82" s="251">
        <f>MIN(IF(N82="",0,N82),150000)</f>
        <v>0</v>
      </c>
      <c r="R82" s="255"/>
    </row>
    <row r="83" spans="1:18" ht="12.75" customHeight="1" x14ac:dyDescent="0.25">
      <c r="A83" s="199" t="s">
        <v>61</v>
      </c>
      <c r="B83" s="180"/>
      <c r="C83" s="180"/>
      <c r="D83" s="180"/>
      <c r="E83" s="180"/>
      <c r="F83" s="243"/>
      <c r="G83" s="254">
        <v>12</v>
      </c>
      <c r="I83" s="199" t="s">
        <v>72</v>
      </c>
      <c r="J83" s="187"/>
      <c r="K83" s="187"/>
      <c r="L83" s="187"/>
      <c r="M83" s="188"/>
      <c r="N83" s="228">
        <v>0</v>
      </c>
      <c r="O83" s="251">
        <f>MIN(IF(N83="",0,N83)+'NSC Accrued Interest'!D73,150000)</f>
        <v>0</v>
      </c>
      <c r="R83" s="255"/>
    </row>
    <row r="84" spans="1:18" ht="12.75" customHeight="1" x14ac:dyDescent="0.25">
      <c r="I84" s="199" t="s">
        <v>73</v>
      </c>
      <c r="J84" s="187"/>
      <c r="K84" s="187"/>
      <c r="L84" s="187"/>
      <c r="M84" s="188"/>
      <c r="N84" s="244">
        <f>T23+T24</f>
        <v>0</v>
      </c>
      <c r="O84" s="251">
        <f>MIN(N84,150000)</f>
        <v>0</v>
      </c>
      <c r="R84" s="255"/>
    </row>
    <row r="85" spans="1:18" ht="12.75" customHeight="1" x14ac:dyDescent="0.25">
      <c r="A85" s="339" t="str">
        <f ca="1">"Old scheme - " &amp; IF(F81&lt;0,"Tax refund",IF(OR(G83=1,G83="",F81=0),"Balance Tax payable","Tax per Month"))</f>
        <v>Old scheme - Balance Tax payable</v>
      </c>
      <c r="B85" s="340"/>
      <c r="C85" s="340"/>
      <c r="D85" s="340"/>
      <c r="E85" s="341"/>
      <c r="F85" s="345">
        <f ca="1">IF(F81&gt;0,F81/IF(G83="",1,G83),F81)</f>
        <v>0</v>
      </c>
      <c r="G85" s="346"/>
      <c r="I85" s="199" t="s">
        <v>243</v>
      </c>
      <c r="J85" s="187"/>
      <c r="K85" s="187"/>
      <c r="L85" s="187"/>
      <c r="M85" s="188"/>
      <c r="N85" s="228">
        <v>0</v>
      </c>
      <c r="O85" s="251">
        <f>MIN(IF(N85="",0,N85),150000)</f>
        <v>0</v>
      </c>
    </row>
    <row r="86" spans="1:18" ht="12.75" customHeight="1" x14ac:dyDescent="0.25">
      <c r="A86" s="342"/>
      <c r="B86" s="343"/>
      <c r="C86" s="343"/>
      <c r="D86" s="343"/>
      <c r="E86" s="344"/>
      <c r="F86" s="347"/>
      <c r="G86" s="348"/>
      <c r="I86" s="199" t="s">
        <v>258</v>
      </c>
      <c r="J86" s="187"/>
      <c r="K86" s="187"/>
      <c r="L86" s="187"/>
      <c r="M86" s="188"/>
      <c r="N86" s="228">
        <v>0</v>
      </c>
      <c r="O86" s="251">
        <f>MIN(IF(N86="",0,N86),150000)</f>
        <v>0</v>
      </c>
    </row>
    <row r="87" spans="1:18" ht="12.75" customHeight="1" x14ac:dyDescent="0.25">
      <c r="A87" s="339" t="str">
        <f ca="1">"New scheme - " &amp; IF(G81&lt;0,"Tax refund",IF(OR(G83=1,G83="",G81=0),"Balance Tax payable","Tax per Month"))</f>
        <v>New scheme - Balance Tax payable</v>
      </c>
      <c r="B87" s="340"/>
      <c r="C87" s="340"/>
      <c r="D87" s="340"/>
      <c r="E87" s="341"/>
      <c r="F87" s="345">
        <f ca="1">IF(G81&gt;0,G81/IF(G83="",1,G83),G81)</f>
        <v>0</v>
      </c>
      <c r="G87" s="346"/>
      <c r="I87" s="199" t="s">
        <v>451</v>
      </c>
      <c r="J87" s="187"/>
      <c r="K87" s="187"/>
      <c r="L87" s="187"/>
      <c r="M87" s="188"/>
      <c r="N87" s="228">
        <v>0</v>
      </c>
      <c r="O87" s="251">
        <f>MIN(IF(N87="",0,N87)+T27,150000)</f>
        <v>0</v>
      </c>
    </row>
    <row r="88" spans="1:18" ht="12.75" customHeight="1" x14ac:dyDescent="0.25">
      <c r="A88" s="342"/>
      <c r="B88" s="343"/>
      <c r="C88" s="343"/>
      <c r="D88" s="343"/>
      <c r="E88" s="344"/>
      <c r="F88" s="347"/>
      <c r="G88" s="348"/>
      <c r="I88" s="199" t="s">
        <v>377</v>
      </c>
      <c r="J88" s="187"/>
      <c r="K88" s="187"/>
      <c r="L88" s="187"/>
      <c r="M88" s="188"/>
      <c r="N88" s="228">
        <v>0</v>
      </c>
      <c r="O88" s="251">
        <f>MIN(IF(N88="",0,N88),(T3+T4)*IF(AB74="Y",14%,10%))</f>
        <v>0</v>
      </c>
    </row>
    <row r="89" spans="1:18" ht="12.75" customHeight="1" x14ac:dyDescent="0.25">
      <c r="B89" s="150"/>
      <c r="C89" s="150"/>
      <c r="D89" s="150"/>
      <c r="E89" s="150"/>
      <c r="F89" s="31"/>
      <c r="I89" s="199" t="s">
        <v>474</v>
      </c>
      <c r="J89" s="187"/>
      <c r="K89" s="187"/>
      <c r="L89" s="187"/>
      <c r="M89" s="188"/>
      <c r="N89" s="228">
        <v>0</v>
      </c>
      <c r="O89" s="251">
        <f>MIN(IF(N89="",0,N89),150000)</f>
        <v>0</v>
      </c>
    </row>
    <row r="90" spans="1:18" ht="12.75" customHeight="1" x14ac:dyDescent="0.25">
      <c r="A90" s="269" t="str">
        <f>Copyright</f>
        <v>© 1997-2024, Nithyanand Yeswanth (taxcalc@ynithya.com)</v>
      </c>
      <c r="I90" s="200" t="s">
        <v>74</v>
      </c>
      <c r="J90" s="201"/>
      <c r="K90" s="201"/>
      <c r="L90" s="201"/>
      <c r="M90" s="202"/>
      <c r="N90" s="247"/>
      <c r="O90" s="247">
        <f>MIN(MIN(SUM(O82:O87),150000)+O81,200000)+O88</f>
        <v>0</v>
      </c>
    </row>
    <row r="91" spans="1:18" ht="2.1" customHeight="1" x14ac:dyDescent="0.25"/>
    <row r="93" spans="1:18" ht="12.75" hidden="1" customHeight="1" x14ac:dyDescent="0.25">
      <c r="C93" s="25"/>
    </row>
    <row r="94" spans="1:18" ht="12.75" hidden="1" customHeight="1" x14ac:dyDescent="0.25">
      <c r="C94" s="25"/>
    </row>
    <row r="97" spans="1:16" hidden="1" x14ac:dyDescent="0.25">
      <c r="A97" s="12"/>
      <c r="B97" s="13" t="s">
        <v>129</v>
      </c>
      <c r="D97" s="2">
        <f>IF(D44="N",IF(D46="Y",MIN(MAX(IF(D5="",0,D5),0),IF($AB$68="Y",3200,0)),0),0)</f>
        <v>0</v>
      </c>
      <c r="E97" s="2">
        <f t="shared" ref="E97:O97" si="19">IF(E44="N",IF(E46="Y",MIN(MAX(IF(E5="",0,E5),0),IF($AB$68="Y",3200,0)),0),0)</f>
        <v>0</v>
      </c>
      <c r="F97" s="2">
        <f t="shared" si="19"/>
        <v>0</v>
      </c>
      <c r="G97" s="2">
        <f t="shared" si="19"/>
        <v>0</v>
      </c>
      <c r="H97" s="2">
        <f t="shared" si="19"/>
        <v>0</v>
      </c>
      <c r="I97" s="2">
        <f t="shared" si="19"/>
        <v>0</v>
      </c>
      <c r="J97" s="2">
        <f t="shared" si="19"/>
        <v>0</v>
      </c>
      <c r="K97" s="2">
        <f t="shared" si="19"/>
        <v>0</v>
      </c>
      <c r="L97" s="2">
        <f t="shared" si="19"/>
        <v>0</v>
      </c>
      <c r="M97" s="2">
        <f t="shared" si="19"/>
        <v>0</v>
      </c>
      <c r="N97" s="2">
        <f t="shared" si="19"/>
        <v>0</v>
      </c>
      <c r="O97" s="2">
        <f t="shared" si="19"/>
        <v>0</v>
      </c>
      <c r="P97" s="1">
        <f>SUM(D97:O97)</f>
        <v>0</v>
      </c>
    </row>
    <row r="98" spans="1:16" hidden="1" x14ac:dyDescent="0.25">
      <c r="A98" s="11"/>
      <c r="B98" s="14" t="s">
        <v>130</v>
      </c>
      <c r="D98" s="17">
        <f t="shared" ref="D98:O98" si="20">IF(D43=0,$AB$56,D43/100)</f>
        <v>0</v>
      </c>
      <c r="E98" s="17">
        <f t="shared" si="20"/>
        <v>0</v>
      </c>
      <c r="F98" s="17">
        <f t="shared" si="20"/>
        <v>0</v>
      </c>
      <c r="G98" s="17">
        <f t="shared" si="20"/>
        <v>0</v>
      </c>
      <c r="H98" s="17">
        <f t="shared" si="20"/>
        <v>0</v>
      </c>
      <c r="I98" s="17">
        <f t="shared" si="20"/>
        <v>0</v>
      </c>
      <c r="J98" s="17">
        <f t="shared" si="20"/>
        <v>0</v>
      </c>
      <c r="K98" s="17">
        <f t="shared" si="20"/>
        <v>0</v>
      </c>
      <c r="L98" s="17">
        <f t="shared" si="20"/>
        <v>0</v>
      </c>
      <c r="M98" s="17">
        <f t="shared" si="20"/>
        <v>0</v>
      </c>
      <c r="N98" s="17">
        <f t="shared" si="20"/>
        <v>0</v>
      </c>
      <c r="O98" s="17">
        <f t="shared" si="20"/>
        <v>0</v>
      </c>
      <c r="P98" s="19"/>
    </row>
    <row r="99" spans="1:16" hidden="1" x14ac:dyDescent="0.25">
      <c r="A99" s="11"/>
      <c r="B99" s="14" t="s">
        <v>131</v>
      </c>
      <c r="D99" s="2">
        <f t="shared" ref="D99:O99" si="21">IF($C3="Y",D3)+IF($C4="Y",D4)+IF($C5="Y",D5)+IF($C6="Y",D6)+IF($C7="Y",D7)+IF($C8="Y",D8)+IF($C9="Y",D9)+IF($C10="Y",D10)+IF($C11="Y",D11)+IF($C12="Y",D12)+IF($C13="Y",D13)+IF($C14="Y",D14)+IF($C15="Y",D15)+IF($C16="Y",D16)+IF($C17="Y",D17)+IF($C18="Y",D18)+IF($C19="Y",D19)+IF($C20="Y",D20)</f>
        <v>0</v>
      </c>
      <c r="E99" s="2">
        <f t="shared" si="21"/>
        <v>0</v>
      </c>
      <c r="F99" s="2">
        <f t="shared" si="21"/>
        <v>0</v>
      </c>
      <c r="G99" s="2">
        <f t="shared" si="21"/>
        <v>0</v>
      </c>
      <c r="H99" s="2">
        <f t="shared" si="21"/>
        <v>0</v>
      </c>
      <c r="I99" s="2">
        <f t="shared" si="21"/>
        <v>0</v>
      </c>
      <c r="J99" s="2">
        <f t="shared" si="21"/>
        <v>0</v>
      </c>
      <c r="K99" s="2">
        <f t="shared" si="21"/>
        <v>0</v>
      </c>
      <c r="L99" s="2">
        <f t="shared" si="21"/>
        <v>0</v>
      </c>
      <c r="M99" s="2">
        <f t="shared" si="21"/>
        <v>0</v>
      </c>
      <c r="N99" s="2">
        <f t="shared" si="21"/>
        <v>0</v>
      </c>
      <c r="O99" s="2">
        <f t="shared" si="21"/>
        <v>0</v>
      </c>
      <c r="P99" s="1">
        <f t="shared" ref="P99:P102" si="22">SUM(D99:O99)</f>
        <v>0</v>
      </c>
    </row>
    <row r="100" spans="1:16" hidden="1" x14ac:dyDescent="0.25">
      <c r="A100" s="11"/>
      <c r="B100" s="14" t="s">
        <v>132</v>
      </c>
      <c r="D100" s="2">
        <f t="shared" ref="D100:O100" si="23">MAX(MIN((D3+D4)*D104,D26-(D3+D4)*10%,IF(D6="",0,D6)),0)</f>
        <v>0</v>
      </c>
      <c r="E100" s="2">
        <f t="shared" si="23"/>
        <v>0</v>
      </c>
      <c r="F100" s="2">
        <f t="shared" si="23"/>
        <v>0</v>
      </c>
      <c r="G100" s="2">
        <f t="shared" si="23"/>
        <v>0</v>
      </c>
      <c r="H100" s="2">
        <f t="shared" si="23"/>
        <v>0</v>
      </c>
      <c r="I100" s="2">
        <f t="shared" si="23"/>
        <v>0</v>
      </c>
      <c r="J100" s="2">
        <f t="shared" si="23"/>
        <v>0</v>
      </c>
      <c r="K100" s="2">
        <f t="shared" si="23"/>
        <v>0</v>
      </c>
      <c r="L100" s="2">
        <f t="shared" si="23"/>
        <v>0</v>
      </c>
      <c r="M100" s="2">
        <f t="shared" si="23"/>
        <v>0</v>
      </c>
      <c r="N100" s="2">
        <f t="shared" si="23"/>
        <v>0</v>
      </c>
      <c r="O100" s="2">
        <f t="shared" si="23"/>
        <v>0</v>
      </c>
      <c r="P100" s="1">
        <f t="shared" si="22"/>
        <v>0</v>
      </c>
    </row>
    <row r="101" spans="1:16" ht="12.75" hidden="1" customHeight="1" x14ac:dyDescent="0.25">
      <c r="A101" s="332" t="s">
        <v>133</v>
      </c>
      <c r="B101" s="14" t="s">
        <v>36</v>
      </c>
      <c r="D101" s="15">
        <f>D40</f>
        <v>0</v>
      </c>
      <c r="E101" s="3">
        <f>D103</f>
        <v>0</v>
      </c>
      <c r="F101" s="3">
        <f t="shared" ref="F101:O101" si="24">E103</f>
        <v>0</v>
      </c>
      <c r="G101" s="3">
        <f t="shared" si="24"/>
        <v>0</v>
      </c>
      <c r="H101" s="3">
        <f t="shared" si="24"/>
        <v>0</v>
      </c>
      <c r="I101" s="3">
        <f t="shared" si="24"/>
        <v>0</v>
      </c>
      <c r="J101" s="3">
        <f t="shared" si="24"/>
        <v>0</v>
      </c>
      <c r="K101" s="3">
        <f t="shared" si="24"/>
        <v>0</v>
      </c>
      <c r="L101" s="3">
        <f t="shared" si="24"/>
        <v>0</v>
      </c>
      <c r="M101" s="3">
        <f t="shared" si="24"/>
        <v>0</v>
      </c>
      <c r="N101" s="3">
        <f t="shared" si="24"/>
        <v>0</v>
      </c>
      <c r="O101" s="3">
        <f t="shared" si="24"/>
        <v>0</v>
      </c>
      <c r="P101" s="1">
        <f>D101</f>
        <v>0</v>
      </c>
    </row>
    <row r="102" spans="1:16" hidden="1" x14ac:dyDescent="0.25">
      <c r="A102" s="333"/>
      <c r="B102" s="14" t="s">
        <v>37</v>
      </c>
      <c r="D102" s="3">
        <f>ROUND(D101*($AF$52/12),0)</f>
        <v>0</v>
      </c>
      <c r="E102" s="3">
        <f t="shared" ref="E102:O102" si="25">ROUND(E101*($AF$52/12),0)</f>
        <v>0</v>
      </c>
      <c r="F102" s="3">
        <f t="shared" si="25"/>
        <v>0</v>
      </c>
      <c r="G102" s="3">
        <f t="shared" si="25"/>
        <v>0</v>
      </c>
      <c r="H102" s="3">
        <f t="shared" si="25"/>
        <v>0</v>
      </c>
      <c r="I102" s="3">
        <f t="shared" si="25"/>
        <v>0</v>
      </c>
      <c r="J102" s="3">
        <f t="shared" si="25"/>
        <v>0</v>
      </c>
      <c r="K102" s="3">
        <f t="shared" si="25"/>
        <v>0</v>
      </c>
      <c r="L102" s="3">
        <f t="shared" si="25"/>
        <v>0</v>
      </c>
      <c r="M102" s="3">
        <f t="shared" si="25"/>
        <v>0</v>
      </c>
      <c r="N102" s="3">
        <f t="shared" si="25"/>
        <v>0</v>
      </c>
      <c r="O102" s="3">
        <f t="shared" si="25"/>
        <v>0</v>
      </c>
      <c r="P102" s="1">
        <f t="shared" si="22"/>
        <v>0</v>
      </c>
    </row>
    <row r="103" spans="1:16" hidden="1" x14ac:dyDescent="0.25">
      <c r="A103" s="334"/>
      <c r="B103" s="14" t="s">
        <v>38</v>
      </c>
      <c r="D103" s="15">
        <f t="shared" ref="D103:O103" si="26">D101+D23+D24-D39+MAX((D23-MIN(D99*8.33%,541)),0)</f>
        <v>0</v>
      </c>
      <c r="E103" s="15">
        <f t="shared" si="26"/>
        <v>0</v>
      </c>
      <c r="F103" s="15">
        <f t="shared" si="26"/>
        <v>0</v>
      </c>
      <c r="G103" s="15">
        <f t="shared" si="26"/>
        <v>0</v>
      </c>
      <c r="H103" s="15">
        <f t="shared" si="26"/>
        <v>0</v>
      </c>
      <c r="I103" s="15">
        <f t="shared" si="26"/>
        <v>0</v>
      </c>
      <c r="J103" s="15">
        <f t="shared" si="26"/>
        <v>0</v>
      </c>
      <c r="K103" s="15">
        <f t="shared" si="26"/>
        <v>0</v>
      </c>
      <c r="L103" s="15">
        <f t="shared" si="26"/>
        <v>0</v>
      </c>
      <c r="M103" s="15">
        <f t="shared" si="26"/>
        <v>0</v>
      </c>
      <c r="N103" s="15">
        <f t="shared" si="26"/>
        <v>0</v>
      </c>
      <c r="O103" s="15">
        <f t="shared" si="26"/>
        <v>0</v>
      </c>
      <c r="P103" s="1">
        <f>O103</f>
        <v>0</v>
      </c>
    </row>
    <row r="104" spans="1:16" hidden="1" x14ac:dyDescent="0.25">
      <c r="A104" s="11"/>
      <c r="B104" s="14" t="s">
        <v>134</v>
      </c>
      <c r="D104" s="16">
        <f t="shared" ref="D104:O104" si="27">IF(D47="M",50%,40%)</f>
        <v>0.4</v>
      </c>
      <c r="E104" s="16">
        <f t="shared" si="27"/>
        <v>0.4</v>
      </c>
      <c r="F104" s="16">
        <f t="shared" si="27"/>
        <v>0.4</v>
      </c>
      <c r="G104" s="16">
        <f t="shared" si="27"/>
        <v>0.4</v>
      </c>
      <c r="H104" s="16">
        <f t="shared" si="27"/>
        <v>0.4</v>
      </c>
      <c r="I104" s="16">
        <f t="shared" si="27"/>
        <v>0.4</v>
      </c>
      <c r="J104" s="16">
        <f t="shared" si="27"/>
        <v>0.4</v>
      </c>
      <c r="K104" s="16">
        <f t="shared" si="27"/>
        <v>0.4</v>
      </c>
      <c r="L104" s="16">
        <f t="shared" si="27"/>
        <v>0.4</v>
      </c>
      <c r="M104" s="16">
        <f t="shared" si="27"/>
        <v>0.4</v>
      </c>
      <c r="N104" s="16">
        <f t="shared" si="27"/>
        <v>0.4</v>
      </c>
      <c r="O104" s="16">
        <f t="shared" si="27"/>
        <v>0.4</v>
      </c>
      <c r="P104" s="18"/>
    </row>
    <row r="105" spans="1:16" hidden="1" x14ac:dyDescent="0.25">
      <c r="A105" s="12"/>
      <c r="B105" s="13" t="s">
        <v>494</v>
      </c>
      <c r="D105" s="2">
        <f>IF(D44="Y",IF($AB$72="Y",IF($AB$73="Y",2400,1800),IF($AB$73="Y",900,600))+IF(D45="Y",900,0),0)</f>
        <v>0</v>
      </c>
      <c r="E105" s="2">
        <f t="shared" ref="E105:O105" si="28">IF(E44="Y",IF($AB$72="Y",IF($AB$73="Y",2400,1800),IF($AB$73="Y",900,600))+IF(E45="Y",900,0),0)</f>
        <v>0</v>
      </c>
      <c r="F105" s="2">
        <f t="shared" si="28"/>
        <v>0</v>
      </c>
      <c r="G105" s="2">
        <f t="shared" si="28"/>
        <v>0</v>
      </c>
      <c r="H105" s="2">
        <f t="shared" si="28"/>
        <v>0</v>
      </c>
      <c r="I105" s="2">
        <f t="shared" si="28"/>
        <v>0</v>
      </c>
      <c r="J105" s="2">
        <f t="shared" si="28"/>
        <v>0</v>
      </c>
      <c r="K105" s="2">
        <f t="shared" si="28"/>
        <v>0</v>
      </c>
      <c r="L105" s="2">
        <f t="shared" si="28"/>
        <v>0</v>
      </c>
      <c r="M105" s="2">
        <f t="shared" si="28"/>
        <v>0</v>
      </c>
      <c r="N105" s="2">
        <f t="shared" si="28"/>
        <v>0</v>
      </c>
      <c r="O105" s="2">
        <f t="shared" si="28"/>
        <v>0</v>
      </c>
      <c r="P105" s="1">
        <f t="shared" ref="P105:P107" si="29">SUM(D105:O105)</f>
        <v>0</v>
      </c>
    </row>
    <row r="106" spans="1:16" hidden="1" x14ac:dyDescent="0.25">
      <c r="A106" s="12"/>
      <c r="B106" s="13" t="s">
        <v>495</v>
      </c>
      <c r="D106" s="2">
        <f>IF(D44="Y",0,MAX(D11-IF($AB$72="Y",IF($AB$73="Y",2400,1800)+IF(D45="Y",900,0),0),0))</f>
        <v>0</v>
      </c>
      <c r="E106" s="2">
        <f t="shared" ref="E106:O106" si="30">IF(E44="Y",0,MAX(E11-IF($AB$72="Y",IF($AB$73="Y",2400,1800)+IF(E45="Y",900,0),0),0))</f>
        <v>0</v>
      </c>
      <c r="F106" s="2">
        <f t="shared" si="30"/>
        <v>0</v>
      </c>
      <c r="G106" s="2">
        <f t="shared" si="30"/>
        <v>0</v>
      </c>
      <c r="H106" s="2">
        <f t="shared" si="30"/>
        <v>0</v>
      </c>
      <c r="I106" s="2">
        <f t="shared" si="30"/>
        <v>0</v>
      </c>
      <c r="J106" s="2">
        <f t="shared" si="30"/>
        <v>0</v>
      </c>
      <c r="K106" s="2">
        <f t="shared" si="30"/>
        <v>0</v>
      </c>
      <c r="L106" s="2">
        <f t="shared" si="30"/>
        <v>0</v>
      </c>
      <c r="M106" s="2">
        <f t="shared" si="30"/>
        <v>0</v>
      </c>
      <c r="N106" s="2">
        <f t="shared" si="30"/>
        <v>0</v>
      </c>
      <c r="O106" s="2">
        <f t="shared" si="30"/>
        <v>0</v>
      </c>
      <c r="P106" s="1">
        <f t="shared" si="29"/>
        <v>0</v>
      </c>
    </row>
    <row r="107" spans="1:16" hidden="1" x14ac:dyDescent="0.25">
      <c r="A107" s="12"/>
      <c r="B107" s="13" t="s">
        <v>493</v>
      </c>
      <c r="D107" s="2">
        <f>IF(D44="Y",0,D11)</f>
        <v>0</v>
      </c>
      <c r="E107" s="2">
        <f t="shared" ref="E107:O107" si="31">IF(E44="Y",0,E11)</f>
        <v>0</v>
      </c>
      <c r="F107" s="2">
        <f t="shared" si="31"/>
        <v>0</v>
      </c>
      <c r="G107" s="2">
        <f t="shared" si="31"/>
        <v>0</v>
      </c>
      <c r="H107" s="2">
        <f t="shared" si="31"/>
        <v>0</v>
      </c>
      <c r="I107" s="2">
        <f t="shared" si="31"/>
        <v>0</v>
      </c>
      <c r="J107" s="2">
        <f t="shared" si="31"/>
        <v>0</v>
      </c>
      <c r="K107" s="2">
        <f t="shared" si="31"/>
        <v>0</v>
      </c>
      <c r="L107" s="2">
        <f t="shared" si="31"/>
        <v>0</v>
      </c>
      <c r="M107" s="2">
        <f t="shared" si="31"/>
        <v>0</v>
      </c>
      <c r="N107" s="2">
        <f t="shared" si="31"/>
        <v>0</v>
      </c>
      <c r="O107" s="2">
        <f t="shared" si="31"/>
        <v>0</v>
      </c>
      <c r="P107" s="1">
        <f t="shared" si="29"/>
        <v>0</v>
      </c>
    </row>
  </sheetData>
  <sheetProtection algorithmName="SHA-512" hashValue="8khS9uAa7i8sBPP3EoffHGJiLHUNIDxru6NkQ8Zbqo3CF2abgRg4HYkOddhNFPmqmhaAASauP32lpntNV0tdOw==" saltValue="7LiubV0veiANYAoJbWyHrg==" spinCount="100000" sheet="1" scenarios="1"/>
  <mergeCells count="39">
    <mergeCell ref="A101:A103"/>
    <mergeCell ref="A3:A21"/>
    <mergeCell ref="A22:A37"/>
    <mergeCell ref="A39:A42"/>
    <mergeCell ref="A50:G50"/>
    <mergeCell ref="A85:E86"/>
    <mergeCell ref="F85:G86"/>
    <mergeCell ref="A87:E88"/>
    <mergeCell ref="F87:G88"/>
    <mergeCell ref="A1:T1"/>
    <mergeCell ref="Q16:S16"/>
    <mergeCell ref="Q3:S3"/>
    <mergeCell ref="Q4:S4"/>
    <mergeCell ref="Q5:S5"/>
    <mergeCell ref="Q6:S6"/>
    <mergeCell ref="Q9:S9"/>
    <mergeCell ref="Q10:S10"/>
    <mergeCell ref="Q11:S11"/>
    <mergeCell ref="Q12:S12"/>
    <mergeCell ref="Q14:S14"/>
    <mergeCell ref="Q7:S7"/>
    <mergeCell ref="Q8:S8"/>
    <mergeCell ref="Q36:S36"/>
    <mergeCell ref="Q31:S31"/>
    <mergeCell ref="Q29:S29"/>
    <mergeCell ref="Q30:S30"/>
    <mergeCell ref="Q28:S28"/>
    <mergeCell ref="Q27:S27"/>
    <mergeCell ref="Q13:S13"/>
    <mergeCell ref="Q33:S33"/>
    <mergeCell ref="Q34:S34"/>
    <mergeCell ref="Q35:S35"/>
    <mergeCell ref="Q32:S32"/>
    <mergeCell ref="Q15:S15"/>
    <mergeCell ref="Q18:S18"/>
    <mergeCell ref="Q19:S19"/>
    <mergeCell ref="Q17:S17"/>
    <mergeCell ref="Q20:S20"/>
    <mergeCell ref="Q22:S22"/>
  </mergeCells>
  <phoneticPr fontId="0" type="noConversion"/>
  <conditionalFormatting sqref="B28:B36">
    <cfRule type="cellIs" dxfId="15" priority="1" stopIfTrue="1" operator="equal">
      <formula>"Oth Ded"</formula>
    </cfRule>
  </conditionalFormatting>
  <conditionalFormatting sqref="B10:B20">
    <cfRule type="cellIs" dxfId="14" priority="2" stopIfTrue="1" operator="equal">
      <formula>"Misc"</formula>
    </cfRule>
  </conditionalFormatting>
  <conditionalFormatting sqref="A1:U1">
    <cfRule type="cellIs" dxfId="13" priority="3" stopIfTrue="1" operator="equal">
      <formula>"PLEASE ENTER YOUR NAME HERE"</formula>
    </cfRule>
  </conditionalFormatting>
  <dataValidations count="31">
    <dataValidation type="list" showErrorMessage="1" errorTitle="Error!" error="The population is based on 2001 census" sqref="AB71" xr:uid="{00000000-0002-0000-0100-000000000000}">
      <formula1>"&gt;25lacs,10-25lacs,&lt;10lacs"</formula1>
    </dataValidation>
    <dataValidation type="list" showErrorMessage="1" errorTitle="Error!" error="Enter Y if your house is provided by your company; Enter N if not" sqref="AB70" xr:uid="{00000000-0002-0000-0100-000001000000}">
      <formula1>"Y,N"</formula1>
    </dataValidation>
    <dataValidation type="list" showErrorMessage="1" errorTitle="Error!" error="Enter Y if you have a permanent physical disability; Enter N if not" sqref="AB67:AB68" xr:uid="{00000000-0002-0000-0100-000002000000}">
      <formula1>"Y,N"</formula1>
    </dataValidation>
    <dataValidation type="list" showErrorMessage="1" errorTitle="Error!" error="Enter Y if your physical disability is severe (more than 80%); Enter N if not" sqref="AB69" xr:uid="{00000000-0002-0000-0100-000003000000}">
      <formula1>"Y,N"</formula1>
    </dataValidation>
    <dataValidation type="list" showErrorMessage="1" errorTitle="Error!" error="Enter Y if a Senior citizen is included in Medical treatment; Enter N if not" sqref="AB66" xr:uid="{00000000-0002-0000-0100-000004000000}">
      <formula1>"Y,N"</formula1>
    </dataValidation>
    <dataValidation type="list" showErrorMessage="1" errorTitle="Error!" error="Enter P if VPF is calculated as a percentage of salary; Enter F if it is a fixed amount" sqref="AB58" xr:uid="{00000000-0002-0000-0100-000005000000}">
      <formula1>"P,F"</formula1>
    </dataValidation>
    <dataValidation type="decimal" showErrorMessage="1" errorTitle="Error" error="Interest rate should be between 1% and 30%" sqref="AB57" xr:uid="{00000000-0002-0000-0100-000006000000}">
      <formula1>0.01</formula1>
      <formula2>0.3</formula2>
    </dataValidation>
    <dataValidation type="decimal" showErrorMessage="1" errorTitle="Error" error="VPF percentage should be between 0% and 99%" sqref="AB56" xr:uid="{00000000-0002-0000-0100-000007000000}">
      <formula1>0</formula1>
      <formula2>0.99</formula2>
    </dataValidation>
    <dataValidation type="whole" showErrorMessage="1" errorTitle="Error" error="The limit cannot be negative" sqref="AB55" xr:uid="{00000000-0002-0000-0100-000008000000}">
      <formula1>0</formula1>
      <formula2>99999999</formula2>
    </dataValidation>
    <dataValidation type="decimal" showErrorMessage="1" errorTitle="Error" error="PF percentage should be between 0% and 99%" sqref="AB54" xr:uid="{00000000-0002-0000-0100-000009000000}">
      <formula1>0</formula1>
      <formula2>0.99</formula2>
    </dataValidation>
    <dataValidation type="list" showErrorMessage="1" errorTitle="Error!" error="Enter Y if a senior citizen is included in Medical Insurance premium; Enter N if not" sqref="AB64:AB65" xr:uid="{00000000-0002-0000-0100-00000A000000}">
      <formula1>"Y,N"</formula1>
    </dataValidation>
    <dataValidation type="list" showErrorMessage="1" errorTitle="Error!" error="Enter Y if the housing loan was taken after April 1, 1999; Enter N if taken before this date" sqref="AB61:AB62" xr:uid="{00000000-0002-0000-0100-00000B000000}">
      <formula1>"Y,N"</formula1>
    </dataValidation>
    <dataValidation type="list" showErrorMessage="1" errorTitle="Error!" error="Enter Y if house is self-occupied; Enter N if house is rented out" sqref="AB60" xr:uid="{00000000-0002-0000-0100-00000C000000}">
      <formula1>"Y,N"</formula1>
    </dataValidation>
    <dataValidation type="list" showErrorMessage="1" errorTitle="Error!" error="Enter M (for Metro) or N (for non-Metro) only" sqref="AB51 D47:O47" xr:uid="{00000000-0002-0000-0100-00000D000000}">
      <formula1>"M,N"</formula1>
    </dataValidation>
    <dataValidation type="whole" allowBlank="1" showErrorMessage="1" errorTitle="Error" error="Enter whole Rupees only" sqref="G79 N61:N63 N84 N53:N56 S51:S54" xr:uid="{00000000-0002-0000-0100-00000E000000}">
      <formula1>-9999999</formula1>
      <formula2>9999999</formula2>
    </dataValidation>
    <dataValidation type="whole" operator="greaterThanOrEqual" allowBlank="1" showInputMessage="1" showErrorMessage="1" errorTitle="Error!" error="Please enter positive whole number only!" sqref="N78 N68:N72 N75" xr:uid="{00000000-0002-0000-0100-00000F000000}">
      <formula1>0</formula1>
    </dataValidation>
    <dataValidation type="whole" allowBlank="1" showErrorMessage="1" errorTitle="Error" error="Month should be between 1 and 12" sqref="G83" xr:uid="{00000000-0002-0000-0100-000010000000}">
      <formula1>1</formula1>
      <formula2>12</formula2>
    </dataValidation>
    <dataValidation showErrorMessage="1" errorTitle="Error" error="VPF percentage should be between 0% and 99%" sqref="D104:O104 D43:O43 D48:O48" xr:uid="{00000000-0002-0000-0100-000011000000}"/>
    <dataValidation type="list" showErrorMessage="1" errorTitle="Error!" error="Enter Y if you were in India in this month. Enter N if you were abroad" sqref="D46:O46" xr:uid="{00000000-0002-0000-0100-000012000000}">
      <formula1>"Y,N"</formula1>
    </dataValidation>
    <dataValidation type="whole" showInputMessage="1" showErrorMessage="1" errorTitle="Error!" error="Enter only whole Rupees" sqref="Q25:S36 R4:S20 Q3:Q20 Q22:S22 D39:O39 D25:O36 D22:O22 Q39:U42 D3:O20" xr:uid="{00000000-0002-0000-0100-000013000000}">
      <formula1>-9999999</formula1>
      <formula2>9999999</formula2>
    </dataValidation>
    <dataValidation type="whole" allowBlank="1" showErrorMessage="1" errorTitle="Error" error="Enter only whole Rupees" sqref="R23:R24 R21:S21" xr:uid="{00000000-0002-0000-0100-000014000000}">
      <formula1>-9999999</formula1>
      <formula2>9999999</formula2>
    </dataValidation>
    <dataValidation showErrorMessage="1" errorTitle="Error!" error="Enter Y if this column is included in computing PF; Enter N otherwise" sqref="C3" xr:uid="{00000000-0002-0000-0100-000015000000}"/>
    <dataValidation type="list" showErrorMessage="1" errorTitle="Error!" error="Enter Y if this column is included in computing PF; Enter N otherwise" sqref="C4:C20" xr:uid="{00000000-0002-0000-0100-000016000000}">
      <formula1>"Y,N"</formula1>
    </dataValidation>
    <dataValidation type="whole" allowBlank="1" showErrorMessage="1" errorTitle="Error" error="Please enter positive whole number only!" sqref="N64:N66 N73 N81:N83 N85:N89 N60" xr:uid="{00000000-0002-0000-0100-000017000000}">
      <formula1>0</formula1>
      <formula2>9999999</formula2>
    </dataValidation>
    <dataValidation type="list" showErrorMessage="1" errorTitle="Error!" error="Enter Y if you had a car and used it in this month. Enter N if you did not" sqref="D44:O44" xr:uid="{00000000-0002-0000-0100-000018000000}">
      <formula1>"Y,N"</formula1>
    </dataValidation>
    <dataValidation type="list" showErrorMessage="1" errorTitle="Error!" error="Enter Y if you had used a driver in this month. Enter N if you did not" sqref="D45:O45" xr:uid="{00000000-0002-0000-0100-000019000000}">
      <formula1>"Y,N"</formula1>
    </dataValidation>
    <dataValidation type="list" showErrorMessage="1" errorTitle="Error!" error="Enter Y if you are using a car provided by your company for personal and official use; Enter N if not" sqref="AB72 AB74:AB75" xr:uid="{00000000-0002-0000-0100-00001A000000}">
      <formula1>"Y,N"</formula1>
    </dataValidation>
    <dataValidation type="list" showErrorMessage="1" errorTitle="Error!" error="Enter Y if your car (or the one provided by the company) has engine capacity more than 1600cc; Enter N if it is less than 1600cc" sqref="AB73" xr:uid="{00000000-0002-0000-0100-00001B000000}">
      <formula1>"Y,N"</formula1>
    </dataValidation>
    <dataValidation type="list" showErrorMessage="1" errorTitle="Error!" error="Enter Y if you are a senior citizen (age above 65 years); Enter N if you are below 65 years of age" sqref="AG61:AG62" xr:uid="{00000000-0002-0000-0100-00001C000000}">
      <formula1>"Y,N"</formula1>
    </dataValidation>
    <dataValidation type="whole" allowBlank="1" showErrorMessage="1" errorTitle="Error" error="Enter whole Rupees and positive values only" sqref="N59" xr:uid="{00000000-0002-0000-0100-00001D000000}">
      <formula1>0</formula1>
      <formula2>9999999</formula2>
    </dataValidation>
    <dataValidation type="whole" allowBlank="1" showErrorMessage="1" errorTitle="Error" error="Enter whole Rupees only" sqref="D40 T59:T60" xr:uid="{00000000-0002-0000-0100-00001E000000}">
      <formula1>0</formula1>
      <formula2>99999999</formula2>
    </dataValidation>
  </dataValidations>
  <printOptions horizontalCentered="1"/>
  <pageMargins left="0.25" right="0.25" top="0.75" bottom="0.75" header="0.3" footer="0.3"/>
  <pageSetup paperSize="9" scale="78" fitToHeight="2" orientation="landscape" r:id="rId1"/>
  <headerFooter>
    <oddHeader>&amp;L&amp;"Franklin Gothic Book,Bold"&amp;9&amp;D&amp;C&amp;"Franklin Gothic Book,Bold"&amp;9Income Tax Projections for Financial Year 2023-24&amp;R&amp;"Franklin Gothic Book,Bold"&amp;9Page &amp;P of &amp;N</oddHeader>
    <oddFooter>&amp;LFree Download from http://taxcalc.ynithya.com/&amp;C(Version 26.1)&amp;R© 1997-2024, Nithyanand Yeswanth (taxcalc@ynithya.com)</oddFooter>
  </headerFooter>
  <rowBreaks count="1" manualBreakCount="1">
    <brk id="49" max="16383" man="1"/>
  </rowBreaks>
  <ignoredErrors>
    <ignoredError sqref="D47:O48" unlockedFormula="1"/>
    <ignoredError sqref="R37:S37"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57"/>
  </sheetPr>
  <dimension ref="A1:IH71"/>
  <sheetViews>
    <sheetView showGridLines="0" zoomScaleNormal="100" workbookViewId="0">
      <pane xSplit="1" ySplit="7" topLeftCell="B8" activePane="bottomRight" state="frozen"/>
      <selection pane="topRight" activeCell="B1" sqref="B1"/>
      <selection pane="bottomLeft" activeCell="A8" sqref="A8"/>
      <selection pane="bottomRight" activeCell="B8" sqref="B8"/>
    </sheetView>
  </sheetViews>
  <sheetFormatPr defaultColWidth="0" defaultRowHeight="12.75" zeroHeight="1" x14ac:dyDescent="0.25"/>
  <cols>
    <col min="1" max="1" width="26.5" style="39" customWidth="1"/>
    <col min="2" max="12" width="11.33203125" style="33" customWidth="1"/>
    <col min="13" max="13" width="0.33203125" style="33" customWidth="1"/>
    <col min="14" max="242" width="10.6640625" style="33" hidden="1" customWidth="1"/>
    <col min="243" max="16384" width="0.83203125" style="33" hidden="1"/>
  </cols>
  <sheetData>
    <row r="1" spans="1:27" ht="30" customHeight="1" x14ac:dyDescent="0.25">
      <c r="A1" s="352" t="str">
        <f>Instructions!B7</f>
        <v>PLEASE ENTER YOUR NAME HERE</v>
      </c>
      <c r="B1" s="352"/>
      <c r="C1" s="352"/>
      <c r="D1" s="352"/>
      <c r="E1" s="352"/>
      <c r="F1" s="352"/>
      <c r="G1" s="352"/>
      <c r="H1" s="352"/>
      <c r="I1" s="352"/>
      <c r="J1" s="352"/>
      <c r="K1" s="352"/>
      <c r="L1" s="352"/>
      <c r="M1" s="32"/>
    </row>
    <row r="2" spans="1:27" s="35" customFormat="1" ht="18" customHeight="1" x14ac:dyDescent="0.25">
      <c r="A2" s="355" t="s">
        <v>218</v>
      </c>
      <c r="B2" s="355"/>
      <c r="C2" s="355"/>
      <c r="D2" s="355"/>
      <c r="E2" s="355"/>
      <c r="F2" s="355"/>
      <c r="G2" s="355"/>
      <c r="H2" s="355"/>
      <c r="I2" s="355"/>
      <c r="J2" s="355"/>
      <c r="K2" s="355"/>
      <c r="L2" s="355"/>
      <c r="M2" s="34"/>
    </row>
    <row r="3" spans="1:27" s="35" customFormat="1" ht="12.75" customHeight="1" x14ac:dyDescent="0.25">
      <c r="A3" s="359"/>
      <c r="B3" s="360"/>
      <c r="C3" s="360"/>
      <c r="D3" s="360"/>
      <c r="E3" s="360"/>
      <c r="F3" s="360"/>
      <c r="G3" s="360"/>
      <c r="H3" s="360"/>
      <c r="I3" s="360"/>
      <c r="J3" s="360"/>
      <c r="K3" s="360"/>
      <c r="L3" s="361"/>
      <c r="M3" s="34"/>
    </row>
    <row r="4" spans="1:27" s="35" customFormat="1" ht="14.1" hidden="1" customHeight="1" x14ac:dyDescent="0.25">
      <c r="A4" s="362" t="s">
        <v>537</v>
      </c>
      <c r="B4" s="363"/>
      <c r="C4" s="363"/>
      <c r="D4" s="363"/>
      <c r="E4" s="363"/>
      <c r="F4" s="363"/>
      <c r="G4" s="363"/>
      <c r="H4" s="363"/>
      <c r="I4" s="363"/>
      <c r="J4" s="363"/>
      <c r="K4" s="363"/>
      <c r="L4" s="364"/>
      <c r="M4" s="34"/>
    </row>
    <row r="5" spans="1:27" s="35" customFormat="1" ht="14.1" hidden="1" customHeight="1" x14ac:dyDescent="0.25">
      <c r="A5" s="365" t="s">
        <v>536</v>
      </c>
      <c r="B5" s="366"/>
      <c r="C5" s="366"/>
      <c r="D5" s="366"/>
      <c r="E5" s="366"/>
      <c r="F5" s="366"/>
      <c r="G5" s="366"/>
      <c r="H5" s="366"/>
      <c r="I5" s="366"/>
      <c r="J5" s="366"/>
      <c r="K5" s="366"/>
      <c r="L5" s="367"/>
      <c r="M5" s="34"/>
    </row>
    <row r="6" spans="1:27" hidden="1" x14ac:dyDescent="0.25">
      <c r="A6" s="356"/>
      <c r="B6" s="357"/>
      <c r="C6" s="357"/>
      <c r="D6" s="357"/>
      <c r="E6" s="357"/>
      <c r="F6" s="357"/>
      <c r="G6" s="357"/>
      <c r="H6" s="357"/>
      <c r="I6" s="357"/>
      <c r="J6" s="357"/>
      <c r="K6" s="357"/>
      <c r="L6" s="358"/>
      <c r="M6" s="36"/>
    </row>
    <row r="7" spans="1:27" s="39" customFormat="1" ht="25.5" x14ac:dyDescent="0.25">
      <c r="A7" s="215"/>
      <c r="B7" s="213" t="s">
        <v>137</v>
      </c>
      <c r="C7" s="213" t="s">
        <v>138</v>
      </c>
      <c r="D7" s="213" t="s">
        <v>139</v>
      </c>
      <c r="E7" s="213" t="s">
        <v>140</v>
      </c>
      <c r="F7" s="213" t="s">
        <v>141</v>
      </c>
      <c r="G7" s="213" t="s">
        <v>142</v>
      </c>
      <c r="H7" s="213" t="s">
        <v>143</v>
      </c>
      <c r="I7" s="213" t="s">
        <v>144</v>
      </c>
      <c r="J7" s="213" t="s">
        <v>145</v>
      </c>
      <c r="K7" s="213" t="s">
        <v>145</v>
      </c>
      <c r="L7" s="213" t="s">
        <v>145</v>
      </c>
      <c r="M7" s="38"/>
      <c r="Q7" s="124" t="s">
        <v>137</v>
      </c>
      <c r="R7" s="124" t="s">
        <v>138</v>
      </c>
      <c r="S7" s="124" t="s">
        <v>139</v>
      </c>
      <c r="T7" s="124" t="s">
        <v>140</v>
      </c>
      <c r="U7" s="124" t="s">
        <v>141</v>
      </c>
      <c r="V7" s="124" t="s">
        <v>142</v>
      </c>
      <c r="W7" s="124" t="s">
        <v>143</v>
      </c>
      <c r="X7" s="124" t="s">
        <v>144</v>
      </c>
      <c r="Y7" s="124" t="s">
        <v>145</v>
      </c>
      <c r="Z7" s="124" t="s">
        <v>146</v>
      </c>
      <c r="AA7" s="124" t="s">
        <v>145</v>
      </c>
    </row>
    <row r="8" spans="1:27" ht="12" customHeight="1" x14ac:dyDescent="0.25">
      <c r="A8" s="212" t="s">
        <v>147</v>
      </c>
      <c r="B8" s="40">
        <v>0</v>
      </c>
      <c r="C8" s="40">
        <v>0</v>
      </c>
      <c r="D8" s="40">
        <v>0</v>
      </c>
      <c r="E8" s="40">
        <v>0</v>
      </c>
      <c r="F8" s="40">
        <v>0</v>
      </c>
      <c r="G8" s="40">
        <v>0</v>
      </c>
      <c r="H8" s="40">
        <v>0</v>
      </c>
      <c r="I8" s="40">
        <v>0</v>
      </c>
      <c r="J8" s="40">
        <v>0</v>
      </c>
      <c r="K8" s="40">
        <v>0</v>
      </c>
      <c r="L8" s="40">
        <v>0</v>
      </c>
      <c r="M8" s="41"/>
      <c r="O8" s="42" t="s">
        <v>148</v>
      </c>
      <c r="P8" s="43">
        <v>45017</v>
      </c>
    </row>
    <row r="9" spans="1:27" ht="12" customHeight="1" x14ac:dyDescent="0.25">
      <c r="A9" s="212" t="s">
        <v>149</v>
      </c>
      <c r="B9" s="44"/>
      <c r="C9" s="44"/>
      <c r="D9" s="44"/>
      <c r="E9" s="44"/>
      <c r="F9" s="44"/>
      <c r="G9" s="44"/>
      <c r="H9" s="44"/>
      <c r="I9" s="44"/>
      <c r="J9" s="44"/>
      <c r="K9" s="44"/>
      <c r="L9" s="44"/>
      <c r="M9" s="41"/>
      <c r="O9" s="42" t="s">
        <v>150</v>
      </c>
      <c r="P9" s="45">
        <f>DATE(YEAR(P8)+1,3,31)</f>
        <v>45382</v>
      </c>
    </row>
    <row r="10" spans="1:27" x14ac:dyDescent="0.25">
      <c r="A10" s="212" t="s">
        <v>151</v>
      </c>
      <c r="B10" s="44"/>
      <c r="C10" s="44"/>
      <c r="D10" s="44"/>
      <c r="E10" s="44"/>
      <c r="F10" s="44"/>
      <c r="G10" s="44"/>
      <c r="H10" s="44"/>
      <c r="I10" s="44"/>
      <c r="J10" s="44"/>
      <c r="K10" s="44"/>
      <c r="L10" s="44"/>
      <c r="M10" s="41"/>
    </row>
    <row r="11" spans="1:27" hidden="1" x14ac:dyDescent="0.25">
      <c r="A11" s="212"/>
      <c r="B11" s="46">
        <f>DATE(YEAR(B$9),MONTH(B$9),1)</f>
        <v>1</v>
      </c>
      <c r="C11" s="46">
        <f t="shared" ref="C11:M11" si="0">DATE(YEAR(C$9),MONTH(C$9),1)</f>
        <v>1</v>
      </c>
      <c r="D11" s="46">
        <f t="shared" si="0"/>
        <v>1</v>
      </c>
      <c r="E11" s="46">
        <f t="shared" si="0"/>
        <v>1</v>
      </c>
      <c r="F11" s="46">
        <f t="shared" si="0"/>
        <v>1</v>
      </c>
      <c r="G11" s="46">
        <f t="shared" si="0"/>
        <v>1</v>
      </c>
      <c r="H11" s="46">
        <f t="shared" si="0"/>
        <v>1</v>
      </c>
      <c r="I11" s="46">
        <f t="shared" si="0"/>
        <v>1</v>
      </c>
      <c r="J11" s="46">
        <f t="shared" si="0"/>
        <v>1</v>
      </c>
      <c r="K11" s="46">
        <f t="shared" si="0"/>
        <v>1</v>
      </c>
      <c r="L11" s="46">
        <f t="shared" si="0"/>
        <v>1</v>
      </c>
      <c r="M11" s="125">
        <f t="shared" si="0"/>
        <v>1</v>
      </c>
    </row>
    <row r="12" spans="1:27" hidden="1" x14ac:dyDescent="0.25">
      <c r="A12" s="212"/>
      <c r="B12" s="46">
        <f t="shared" ref="B12:L12" si="1">IF(B10="",DATE(2040,12,31),B10)</f>
        <v>51501</v>
      </c>
      <c r="C12" s="46">
        <f t="shared" si="1"/>
        <v>51501</v>
      </c>
      <c r="D12" s="46">
        <f t="shared" si="1"/>
        <v>51501</v>
      </c>
      <c r="E12" s="46">
        <f t="shared" si="1"/>
        <v>51501</v>
      </c>
      <c r="F12" s="46">
        <f t="shared" si="1"/>
        <v>51501</v>
      </c>
      <c r="G12" s="46">
        <f t="shared" si="1"/>
        <v>51501</v>
      </c>
      <c r="H12" s="46">
        <f t="shared" si="1"/>
        <v>51501</v>
      </c>
      <c r="I12" s="46">
        <f t="shared" si="1"/>
        <v>51501</v>
      </c>
      <c r="J12" s="46">
        <f t="shared" si="1"/>
        <v>51501</v>
      </c>
      <c r="K12" s="46">
        <f t="shared" si="1"/>
        <v>51501</v>
      </c>
      <c r="L12" s="46">
        <f t="shared" si="1"/>
        <v>51501</v>
      </c>
      <c r="M12" s="41"/>
    </row>
    <row r="13" spans="1:27" x14ac:dyDescent="0.25">
      <c r="A13" s="212" t="s">
        <v>152</v>
      </c>
      <c r="B13" s="47">
        <v>100</v>
      </c>
      <c r="C13" s="47">
        <v>50</v>
      </c>
      <c r="D13" s="47">
        <v>36</v>
      </c>
      <c r="E13" s="47">
        <v>36</v>
      </c>
      <c r="F13" s="47">
        <v>10</v>
      </c>
      <c r="G13" s="47">
        <v>36</v>
      </c>
      <c r="H13" s="47">
        <v>15</v>
      </c>
      <c r="I13" s="47">
        <v>36</v>
      </c>
      <c r="J13" s="47">
        <v>50</v>
      </c>
      <c r="K13" s="47">
        <v>36</v>
      </c>
      <c r="L13" s="47">
        <v>50</v>
      </c>
      <c r="M13" s="41"/>
      <c r="O13" s="153" t="s">
        <v>321</v>
      </c>
      <c r="P13" s="45">
        <f>DATE(YEAR(P9)-Q13,MONTH(P9),DAY(P9))</f>
        <v>23467</v>
      </c>
      <c r="Q13" s="33">
        <v>60</v>
      </c>
    </row>
    <row r="14" spans="1:27" ht="12" customHeight="1" x14ac:dyDescent="0.25">
      <c r="A14" s="212" t="s">
        <v>153</v>
      </c>
      <c r="B14" s="48">
        <v>0</v>
      </c>
      <c r="C14" s="48">
        <v>0.04</v>
      </c>
      <c r="D14" s="48">
        <v>0</v>
      </c>
      <c r="E14" s="48">
        <v>0.04</v>
      </c>
      <c r="F14" s="48">
        <v>0</v>
      </c>
      <c r="G14" s="48">
        <v>0</v>
      </c>
      <c r="H14" s="48">
        <v>0</v>
      </c>
      <c r="I14" s="48">
        <v>0</v>
      </c>
      <c r="J14" s="48">
        <v>0</v>
      </c>
      <c r="K14" s="48">
        <v>0.04</v>
      </c>
      <c r="L14" s="48">
        <v>0</v>
      </c>
      <c r="M14" s="41"/>
      <c r="O14" s="153" t="s">
        <v>322</v>
      </c>
      <c r="P14" s="45">
        <f>DATE(YEAR(P9)-Q14,MONTH(P9),DAY(P9))</f>
        <v>16162</v>
      </c>
      <c r="Q14" s="33">
        <v>80</v>
      </c>
    </row>
    <row r="15" spans="1:27" ht="12" customHeight="1" x14ac:dyDescent="0.25">
      <c r="A15" s="212" t="s">
        <v>154</v>
      </c>
      <c r="B15" s="214">
        <f t="shared" ref="B15:L15" si="2">PMT(B14/12,B13,-B8)</f>
        <v>0</v>
      </c>
      <c r="C15" s="214">
        <f t="shared" si="2"/>
        <v>0</v>
      </c>
      <c r="D15" s="214">
        <f t="shared" si="2"/>
        <v>0</v>
      </c>
      <c r="E15" s="214">
        <f t="shared" si="2"/>
        <v>0</v>
      </c>
      <c r="F15" s="214">
        <f t="shared" si="2"/>
        <v>0</v>
      </c>
      <c r="G15" s="214">
        <f t="shared" si="2"/>
        <v>0</v>
      </c>
      <c r="H15" s="214">
        <f t="shared" si="2"/>
        <v>0</v>
      </c>
      <c r="I15" s="214">
        <f t="shared" si="2"/>
        <v>0</v>
      </c>
      <c r="J15" s="214">
        <f t="shared" si="2"/>
        <v>0</v>
      </c>
      <c r="K15" s="214">
        <f t="shared" si="2"/>
        <v>0</v>
      </c>
      <c r="L15" s="214">
        <f t="shared" si="2"/>
        <v>0</v>
      </c>
      <c r="M15" s="42"/>
    </row>
    <row r="16" spans="1:27" ht="15" customHeight="1" x14ac:dyDescent="0.25">
      <c r="A16" s="49" t="s">
        <v>155</v>
      </c>
      <c r="B16" s="50"/>
      <c r="C16" s="50"/>
      <c r="D16" s="50"/>
      <c r="E16" s="50"/>
      <c r="F16" s="50"/>
      <c r="G16" s="50"/>
      <c r="H16" s="50"/>
      <c r="I16" s="50"/>
      <c r="J16" s="50"/>
      <c r="K16" s="50"/>
      <c r="L16" s="51"/>
      <c r="M16" s="41"/>
      <c r="O16" s="153" t="s">
        <v>376</v>
      </c>
      <c r="P16" s="257" t="str">
        <f>"© 1997-"&amp;YEAR(P9)&amp;", Nithyanand Yeswanth (taxcalc@ynithya.com)"</f>
        <v>© 1997-2024, Nithyanand Yeswanth (taxcalc@ynithya.com)</v>
      </c>
    </row>
    <row r="17" spans="1:27" ht="12" customHeight="1" x14ac:dyDescent="0.25">
      <c r="A17" s="212" t="s">
        <v>147</v>
      </c>
      <c r="B17" s="40">
        <v>0</v>
      </c>
      <c r="C17" s="40">
        <v>0</v>
      </c>
      <c r="D17" s="40">
        <v>0</v>
      </c>
      <c r="E17" s="40">
        <v>0</v>
      </c>
      <c r="F17" s="40">
        <v>0</v>
      </c>
      <c r="G17" s="40">
        <v>0</v>
      </c>
      <c r="H17" s="40">
        <v>0</v>
      </c>
      <c r="I17" s="40">
        <v>0</v>
      </c>
      <c r="J17" s="40">
        <v>0</v>
      </c>
      <c r="K17" s="40">
        <v>0</v>
      </c>
      <c r="L17" s="40">
        <v>0</v>
      </c>
      <c r="M17" s="41"/>
      <c r="P17" s="257"/>
    </row>
    <row r="18" spans="1:27" ht="12" customHeight="1" x14ac:dyDescent="0.25">
      <c r="A18" s="212" t="s">
        <v>149</v>
      </c>
      <c r="B18" s="44"/>
      <c r="C18" s="44"/>
      <c r="D18" s="44"/>
      <c r="E18" s="44"/>
      <c r="F18" s="44"/>
      <c r="G18" s="44"/>
      <c r="H18" s="44"/>
      <c r="I18" s="44"/>
      <c r="J18" s="44"/>
      <c r="K18" s="44"/>
      <c r="L18" s="44"/>
      <c r="M18" s="41"/>
    </row>
    <row r="19" spans="1:27" ht="12" customHeight="1" x14ac:dyDescent="0.25">
      <c r="A19" s="212" t="s">
        <v>151</v>
      </c>
      <c r="B19" s="44"/>
      <c r="C19" s="44"/>
      <c r="D19" s="44"/>
      <c r="E19" s="44"/>
      <c r="F19" s="44"/>
      <c r="G19" s="44"/>
      <c r="H19" s="44"/>
      <c r="I19" s="44"/>
      <c r="J19" s="44"/>
      <c r="K19" s="44"/>
      <c r="L19" s="44"/>
      <c r="M19" s="41"/>
    </row>
    <row r="20" spans="1:27" ht="12" hidden="1" customHeight="1" x14ac:dyDescent="0.25">
      <c r="A20" s="212"/>
      <c r="B20" s="46">
        <f>DATE(YEAR(B$18),MONTH(B$18),1)</f>
        <v>1</v>
      </c>
      <c r="C20" s="46">
        <f t="shared" ref="C20:L20" si="3">DATE(YEAR(C$18),MONTH(C$18),1)</f>
        <v>1</v>
      </c>
      <c r="D20" s="46">
        <f t="shared" si="3"/>
        <v>1</v>
      </c>
      <c r="E20" s="46">
        <f t="shared" si="3"/>
        <v>1</v>
      </c>
      <c r="F20" s="46">
        <f t="shared" si="3"/>
        <v>1</v>
      </c>
      <c r="G20" s="46">
        <f t="shared" si="3"/>
        <v>1</v>
      </c>
      <c r="H20" s="46">
        <f t="shared" si="3"/>
        <v>1</v>
      </c>
      <c r="I20" s="46">
        <f t="shared" si="3"/>
        <v>1</v>
      </c>
      <c r="J20" s="46">
        <f t="shared" si="3"/>
        <v>1</v>
      </c>
      <c r="K20" s="46">
        <f t="shared" si="3"/>
        <v>1</v>
      </c>
      <c r="L20" s="46">
        <f t="shared" si="3"/>
        <v>1</v>
      </c>
      <c r="M20" s="41"/>
    </row>
    <row r="21" spans="1:27" ht="12" hidden="1" customHeight="1" x14ac:dyDescent="0.25">
      <c r="A21" s="212"/>
      <c r="B21" s="46">
        <f>IF(B19="",DATE(2040,12,31),B19)</f>
        <v>51501</v>
      </c>
      <c r="C21" s="46">
        <f>IF(C19="",DATE(2040,12,31),C19)</f>
        <v>51501</v>
      </c>
      <c r="D21" s="46">
        <f t="shared" ref="D21:L21" si="4">IF(D19="",DATE(2040,12,31),D19)</f>
        <v>51501</v>
      </c>
      <c r="E21" s="46">
        <f t="shared" si="4"/>
        <v>51501</v>
      </c>
      <c r="F21" s="46">
        <f t="shared" si="4"/>
        <v>51501</v>
      </c>
      <c r="G21" s="46">
        <f t="shared" si="4"/>
        <v>51501</v>
      </c>
      <c r="H21" s="46">
        <f t="shared" si="4"/>
        <v>51501</v>
      </c>
      <c r="I21" s="46">
        <f t="shared" si="4"/>
        <v>51501</v>
      </c>
      <c r="J21" s="46">
        <f t="shared" si="4"/>
        <v>51501</v>
      </c>
      <c r="K21" s="46">
        <f t="shared" si="4"/>
        <v>51501</v>
      </c>
      <c r="L21" s="46">
        <f t="shared" si="4"/>
        <v>51501</v>
      </c>
      <c r="M21" s="41"/>
    </row>
    <row r="22" spans="1:27" ht="12" customHeight="1" x14ac:dyDescent="0.25">
      <c r="A22" s="212" t="s">
        <v>152</v>
      </c>
      <c r="B22" s="47">
        <v>100</v>
      </c>
      <c r="C22" s="47">
        <v>50</v>
      </c>
      <c r="D22" s="47">
        <v>36</v>
      </c>
      <c r="E22" s="47">
        <v>36</v>
      </c>
      <c r="F22" s="47">
        <v>10</v>
      </c>
      <c r="G22" s="47">
        <v>36</v>
      </c>
      <c r="H22" s="47">
        <v>15</v>
      </c>
      <c r="I22" s="47">
        <v>36</v>
      </c>
      <c r="J22" s="47">
        <v>50</v>
      </c>
      <c r="K22" s="47">
        <v>36</v>
      </c>
      <c r="L22" s="47">
        <v>50</v>
      </c>
      <c r="M22" s="41"/>
    </row>
    <row r="23" spans="1:27" ht="12" customHeight="1" x14ac:dyDescent="0.25">
      <c r="A23" s="212" t="s">
        <v>153</v>
      </c>
      <c r="B23" s="48">
        <v>0</v>
      </c>
      <c r="C23" s="48">
        <v>0.04</v>
      </c>
      <c r="D23" s="48">
        <v>0</v>
      </c>
      <c r="E23" s="48">
        <v>0.04</v>
      </c>
      <c r="F23" s="48">
        <v>0</v>
      </c>
      <c r="G23" s="48">
        <v>0</v>
      </c>
      <c r="H23" s="48">
        <v>0</v>
      </c>
      <c r="I23" s="48">
        <v>0</v>
      </c>
      <c r="J23" s="48">
        <v>0</v>
      </c>
      <c r="K23" s="48">
        <v>0.04</v>
      </c>
      <c r="L23" s="48">
        <v>0</v>
      </c>
      <c r="M23" s="41"/>
    </row>
    <row r="24" spans="1:27" ht="12" customHeight="1" x14ac:dyDescent="0.25">
      <c r="A24" s="212" t="s">
        <v>154</v>
      </c>
      <c r="B24" s="214">
        <f t="shared" ref="B24:L24" si="5">PMT(B23/12,B22,-B17)</f>
        <v>0</v>
      </c>
      <c r="C24" s="214">
        <f t="shared" si="5"/>
        <v>0</v>
      </c>
      <c r="D24" s="214">
        <f t="shared" si="5"/>
        <v>0</v>
      </c>
      <c r="E24" s="214">
        <f t="shared" si="5"/>
        <v>0</v>
      </c>
      <c r="F24" s="214">
        <f t="shared" si="5"/>
        <v>0</v>
      </c>
      <c r="G24" s="214">
        <f t="shared" si="5"/>
        <v>0</v>
      </c>
      <c r="H24" s="214">
        <f t="shared" si="5"/>
        <v>0</v>
      </c>
      <c r="I24" s="214">
        <f t="shared" si="5"/>
        <v>0</v>
      </c>
      <c r="J24" s="214">
        <f t="shared" si="5"/>
        <v>0</v>
      </c>
      <c r="K24" s="214">
        <f t="shared" si="5"/>
        <v>0</v>
      </c>
      <c r="L24" s="214">
        <f t="shared" si="5"/>
        <v>0</v>
      </c>
      <c r="M24" s="42"/>
    </row>
    <row r="25" spans="1:27" ht="8.1" customHeight="1" x14ac:dyDescent="0.25">
      <c r="A25" s="52"/>
      <c r="B25" s="53"/>
      <c r="C25" s="53"/>
      <c r="D25" s="53"/>
      <c r="E25" s="53"/>
      <c r="F25" s="53"/>
      <c r="G25" s="53"/>
      <c r="H25" s="53"/>
      <c r="I25" s="53"/>
      <c r="J25" s="53"/>
      <c r="K25" s="53"/>
      <c r="L25" s="54"/>
      <c r="M25" s="42"/>
      <c r="O25" s="123"/>
    </row>
    <row r="26" spans="1:27" x14ac:dyDescent="0.25">
      <c r="A26" s="212" t="s">
        <v>156</v>
      </c>
      <c r="B26" s="216">
        <v>0.08</v>
      </c>
      <c r="C26" s="216">
        <v>0.08</v>
      </c>
      <c r="D26" s="216">
        <v>0.08</v>
      </c>
      <c r="E26" s="216">
        <v>0.08</v>
      </c>
      <c r="F26" s="216">
        <v>0.08</v>
      </c>
      <c r="G26" s="216">
        <v>0.08</v>
      </c>
      <c r="H26" s="216">
        <v>0.08</v>
      </c>
      <c r="I26" s="216">
        <v>0.08</v>
      </c>
      <c r="J26" s="216">
        <v>0.08</v>
      </c>
      <c r="K26" s="216">
        <v>0.08</v>
      </c>
      <c r="L26" s="216">
        <v>0.08</v>
      </c>
      <c r="M26" s="55"/>
      <c r="O26" s="123"/>
    </row>
    <row r="27" spans="1:27" hidden="1" x14ac:dyDescent="0.25">
      <c r="A27" s="37" t="s">
        <v>157</v>
      </c>
      <c r="B27" s="56">
        <f t="shared" ref="B27:L27" si="6">B26-B14</f>
        <v>0.08</v>
      </c>
      <c r="C27" s="56">
        <f t="shared" si="6"/>
        <v>0.04</v>
      </c>
      <c r="D27" s="56">
        <f t="shared" si="6"/>
        <v>0.08</v>
      </c>
      <c r="E27" s="56">
        <f t="shared" si="6"/>
        <v>0.04</v>
      </c>
      <c r="F27" s="56">
        <f t="shared" si="6"/>
        <v>0.08</v>
      </c>
      <c r="G27" s="56">
        <f t="shared" si="6"/>
        <v>0.08</v>
      </c>
      <c r="H27" s="56">
        <f t="shared" si="6"/>
        <v>0.08</v>
      </c>
      <c r="I27" s="56">
        <f t="shared" si="6"/>
        <v>0.08</v>
      </c>
      <c r="J27" s="56">
        <f t="shared" si="6"/>
        <v>0.08</v>
      </c>
      <c r="K27" s="56">
        <f t="shared" si="6"/>
        <v>0.04</v>
      </c>
      <c r="L27" s="56">
        <f t="shared" si="6"/>
        <v>0.08</v>
      </c>
      <c r="M27" s="55"/>
      <c r="O27" s="123"/>
    </row>
    <row r="28" spans="1:27" hidden="1" x14ac:dyDescent="0.25">
      <c r="A28" s="37" t="s">
        <v>158</v>
      </c>
      <c r="B28" s="56">
        <f t="shared" ref="B28:L28" si="7">B26-B23</f>
        <v>0.08</v>
      </c>
      <c r="C28" s="56">
        <f t="shared" si="7"/>
        <v>0.04</v>
      </c>
      <c r="D28" s="56">
        <f t="shared" si="7"/>
        <v>0.08</v>
      </c>
      <c r="E28" s="56">
        <f t="shared" si="7"/>
        <v>0.04</v>
      </c>
      <c r="F28" s="56">
        <f t="shared" si="7"/>
        <v>0.08</v>
      </c>
      <c r="G28" s="56">
        <f t="shared" si="7"/>
        <v>0.08</v>
      </c>
      <c r="H28" s="56">
        <f t="shared" si="7"/>
        <v>0.08</v>
      </c>
      <c r="I28" s="56">
        <f t="shared" si="7"/>
        <v>0.08</v>
      </c>
      <c r="J28" s="56">
        <f t="shared" si="7"/>
        <v>0.08</v>
      </c>
      <c r="K28" s="56">
        <f t="shared" si="7"/>
        <v>0.04</v>
      </c>
      <c r="L28" s="56">
        <f t="shared" si="7"/>
        <v>0.08</v>
      </c>
      <c r="M28" s="55"/>
    </row>
    <row r="29" spans="1:27" hidden="1" x14ac:dyDescent="0.25">
      <c r="A29" s="57" t="s">
        <v>159</v>
      </c>
      <c r="B29" s="126"/>
      <c r="C29" s="126"/>
      <c r="D29" s="126"/>
      <c r="E29" s="126"/>
      <c r="F29" s="126"/>
      <c r="G29" s="126"/>
      <c r="H29" s="126"/>
      <c r="I29" s="126"/>
      <c r="J29" s="126"/>
      <c r="K29" s="126"/>
      <c r="L29" s="58"/>
      <c r="M29" s="41"/>
    </row>
    <row r="30" spans="1:27" hidden="1" x14ac:dyDescent="0.25">
      <c r="A30" s="59" t="s">
        <v>160</v>
      </c>
      <c r="B30" s="60">
        <f>MAX(IF(AND(B$11&lt;=$N30,B$12&gt;$N30,Q30&lt;B$13),IF(B$14&gt;0,IPMT(B$14/12,Q30+1,B$13,-B$8)*B$27/B$14,(B$8-(Q30*B$15))*B$26/12),0),0)</f>
        <v>0</v>
      </c>
      <c r="C30" s="60">
        <f t="shared" ref="C30:L41" si="8">MAX(IF(AND(C$11&lt;=$N30,C$12&gt;$N30,R30&lt;C$13),IF(C$14&gt;0,IPMT(C$14/12,R30+1,C$13,-C$8)*C$27/C$14,(C$8-(R30*C$15))*C$26/12),0),0)</f>
        <v>0</v>
      </c>
      <c r="D30" s="60">
        <f t="shared" si="8"/>
        <v>0</v>
      </c>
      <c r="E30" s="60">
        <f t="shared" si="8"/>
        <v>0</v>
      </c>
      <c r="F30" s="60">
        <f t="shared" si="8"/>
        <v>0</v>
      </c>
      <c r="G30" s="60">
        <f t="shared" si="8"/>
        <v>0</v>
      </c>
      <c r="H30" s="60">
        <f t="shared" si="8"/>
        <v>0</v>
      </c>
      <c r="I30" s="60">
        <f t="shared" si="8"/>
        <v>0</v>
      </c>
      <c r="J30" s="60">
        <f t="shared" si="8"/>
        <v>0</v>
      </c>
      <c r="K30" s="60">
        <f t="shared" si="8"/>
        <v>0</v>
      </c>
      <c r="L30" s="60">
        <f t="shared" si="8"/>
        <v>0</v>
      </c>
      <c r="M30" s="41"/>
      <c r="N30" s="61">
        <f>P8</f>
        <v>45017</v>
      </c>
      <c r="O30" s="123"/>
      <c r="Q30" s="33">
        <f>ROUND(DAYS360(DATE(YEAR(B$9),MONTH(B$9),1),$N30)/30,0)</f>
        <v>1479</v>
      </c>
      <c r="R30" s="33">
        <f t="shared" ref="R30:AA41" si="9">ROUND(DAYS360(DATE(YEAR(C$9),MONTH(C$9),1),$N30)/30,0)</f>
        <v>1479</v>
      </c>
      <c r="S30" s="33">
        <f t="shared" si="9"/>
        <v>1479</v>
      </c>
      <c r="T30" s="33">
        <f t="shared" si="9"/>
        <v>1479</v>
      </c>
      <c r="U30" s="33">
        <f t="shared" si="9"/>
        <v>1479</v>
      </c>
      <c r="V30" s="33">
        <f t="shared" si="9"/>
        <v>1479</v>
      </c>
      <c r="W30" s="33">
        <f t="shared" si="9"/>
        <v>1479</v>
      </c>
      <c r="X30" s="33">
        <f t="shared" si="9"/>
        <v>1479</v>
      </c>
      <c r="Y30" s="33">
        <f t="shared" si="9"/>
        <v>1479</v>
      </c>
      <c r="Z30" s="33">
        <f t="shared" si="9"/>
        <v>1479</v>
      </c>
      <c r="AA30" s="33">
        <f t="shared" si="9"/>
        <v>1479</v>
      </c>
    </row>
    <row r="31" spans="1:27" hidden="1" x14ac:dyDescent="0.25">
      <c r="A31" s="59" t="s">
        <v>17</v>
      </c>
      <c r="B31" s="60">
        <f t="shared" ref="B31:B41" si="10">MAX(IF(AND(B$11&lt;=$N31,B$12&gt;$N31,Q31&lt;B$13),IF(B$14&gt;0,IPMT(B$14/12,Q31+1,B$13,-B$8)*B$27/B$14,(B$8-(Q31*B$15))*B$26/12),0),0)</f>
        <v>0</v>
      </c>
      <c r="C31" s="60">
        <f t="shared" si="8"/>
        <v>0</v>
      </c>
      <c r="D31" s="60">
        <f t="shared" si="8"/>
        <v>0</v>
      </c>
      <c r="E31" s="60">
        <f t="shared" si="8"/>
        <v>0</v>
      </c>
      <c r="F31" s="60">
        <f t="shared" si="8"/>
        <v>0</v>
      </c>
      <c r="G31" s="60">
        <f t="shared" si="8"/>
        <v>0</v>
      </c>
      <c r="H31" s="60">
        <f t="shared" si="8"/>
        <v>0</v>
      </c>
      <c r="I31" s="60">
        <f t="shared" si="8"/>
        <v>0</v>
      </c>
      <c r="J31" s="60">
        <f t="shared" si="8"/>
        <v>0</v>
      </c>
      <c r="K31" s="60">
        <f t="shared" si="8"/>
        <v>0</v>
      </c>
      <c r="L31" s="60">
        <f t="shared" si="8"/>
        <v>0</v>
      </c>
      <c r="M31" s="41"/>
      <c r="N31" s="61">
        <f t="shared" ref="N31:N41" si="11">DATE(YEAR(N30),MONTH(N30)+1,DAY(N30))</f>
        <v>45047</v>
      </c>
      <c r="Q31" s="33">
        <f t="shared" ref="Q31:Q41" si="12">ROUND(DAYS360(DATE(YEAR(B$9),MONTH(B$9),1),$N31)/30,0)</f>
        <v>1480</v>
      </c>
      <c r="R31" s="33">
        <f t="shared" si="9"/>
        <v>1480</v>
      </c>
      <c r="S31" s="33">
        <f t="shared" si="9"/>
        <v>1480</v>
      </c>
      <c r="T31" s="33">
        <f t="shared" si="9"/>
        <v>1480</v>
      </c>
      <c r="U31" s="33">
        <f t="shared" si="9"/>
        <v>1480</v>
      </c>
      <c r="V31" s="33">
        <f t="shared" si="9"/>
        <v>1480</v>
      </c>
      <c r="W31" s="33">
        <f t="shared" si="9"/>
        <v>1480</v>
      </c>
      <c r="X31" s="33">
        <f t="shared" si="9"/>
        <v>1480</v>
      </c>
      <c r="Y31" s="33">
        <f t="shared" si="9"/>
        <v>1480</v>
      </c>
      <c r="Z31" s="33">
        <f t="shared" si="9"/>
        <v>1480</v>
      </c>
      <c r="AA31" s="33">
        <f t="shared" si="9"/>
        <v>1480</v>
      </c>
    </row>
    <row r="32" spans="1:27" hidden="1" x14ac:dyDescent="0.25">
      <c r="A32" s="59" t="s">
        <v>161</v>
      </c>
      <c r="B32" s="60">
        <f t="shared" si="10"/>
        <v>0</v>
      </c>
      <c r="C32" s="60">
        <f t="shared" si="8"/>
        <v>0</v>
      </c>
      <c r="D32" s="60">
        <f t="shared" si="8"/>
        <v>0</v>
      </c>
      <c r="E32" s="60">
        <f t="shared" si="8"/>
        <v>0</v>
      </c>
      <c r="F32" s="60">
        <f t="shared" si="8"/>
        <v>0</v>
      </c>
      <c r="G32" s="60">
        <f t="shared" si="8"/>
        <v>0</v>
      </c>
      <c r="H32" s="60">
        <f t="shared" si="8"/>
        <v>0</v>
      </c>
      <c r="I32" s="60">
        <f t="shared" si="8"/>
        <v>0</v>
      </c>
      <c r="J32" s="60">
        <f t="shared" si="8"/>
        <v>0</v>
      </c>
      <c r="K32" s="60">
        <f t="shared" si="8"/>
        <v>0</v>
      </c>
      <c r="L32" s="60">
        <f t="shared" si="8"/>
        <v>0</v>
      </c>
      <c r="M32" s="41"/>
      <c r="N32" s="61">
        <f t="shared" si="11"/>
        <v>45078</v>
      </c>
      <c r="Q32" s="33">
        <f t="shared" si="12"/>
        <v>1481</v>
      </c>
      <c r="R32" s="33">
        <f t="shared" si="9"/>
        <v>1481</v>
      </c>
      <c r="S32" s="33">
        <f t="shared" si="9"/>
        <v>1481</v>
      </c>
      <c r="T32" s="33">
        <f t="shared" si="9"/>
        <v>1481</v>
      </c>
      <c r="U32" s="33">
        <f t="shared" si="9"/>
        <v>1481</v>
      </c>
      <c r="V32" s="33">
        <f t="shared" si="9"/>
        <v>1481</v>
      </c>
      <c r="W32" s="33">
        <f t="shared" si="9"/>
        <v>1481</v>
      </c>
      <c r="X32" s="33">
        <f t="shared" si="9"/>
        <v>1481</v>
      </c>
      <c r="Y32" s="33">
        <f t="shared" si="9"/>
        <v>1481</v>
      </c>
      <c r="Z32" s="33">
        <f t="shared" si="9"/>
        <v>1481</v>
      </c>
      <c r="AA32" s="33">
        <f t="shared" si="9"/>
        <v>1481</v>
      </c>
    </row>
    <row r="33" spans="1:27" hidden="1" x14ac:dyDescent="0.25">
      <c r="A33" s="59" t="s">
        <v>162</v>
      </c>
      <c r="B33" s="60">
        <f t="shared" si="10"/>
        <v>0</v>
      </c>
      <c r="C33" s="60">
        <f t="shared" si="8"/>
        <v>0</v>
      </c>
      <c r="D33" s="60">
        <f t="shared" si="8"/>
        <v>0</v>
      </c>
      <c r="E33" s="60">
        <f t="shared" si="8"/>
        <v>0</v>
      </c>
      <c r="F33" s="60">
        <f t="shared" si="8"/>
        <v>0</v>
      </c>
      <c r="G33" s="60">
        <f t="shared" si="8"/>
        <v>0</v>
      </c>
      <c r="H33" s="60">
        <f t="shared" si="8"/>
        <v>0</v>
      </c>
      <c r="I33" s="60">
        <f t="shared" si="8"/>
        <v>0</v>
      </c>
      <c r="J33" s="60">
        <f t="shared" si="8"/>
        <v>0</v>
      </c>
      <c r="K33" s="60">
        <f t="shared" si="8"/>
        <v>0</v>
      </c>
      <c r="L33" s="60">
        <f t="shared" si="8"/>
        <v>0</v>
      </c>
      <c r="M33" s="41"/>
      <c r="N33" s="61">
        <f t="shared" si="11"/>
        <v>45108</v>
      </c>
      <c r="Q33" s="33">
        <f t="shared" si="12"/>
        <v>1482</v>
      </c>
      <c r="R33" s="33">
        <f t="shared" si="9"/>
        <v>1482</v>
      </c>
      <c r="S33" s="33">
        <f t="shared" si="9"/>
        <v>1482</v>
      </c>
      <c r="T33" s="33">
        <f t="shared" si="9"/>
        <v>1482</v>
      </c>
      <c r="U33" s="33">
        <f t="shared" si="9"/>
        <v>1482</v>
      </c>
      <c r="V33" s="33">
        <f t="shared" si="9"/>
        <v>1482</v>
      </c>
      <c r="W33" s="33">
        <f t="shared" si="9"/>
        <v>1482</v>
      </c>
      <c r="X33" s="33">
        <f t="shared" si="9"/>
        <v>1482</v>
      </c>
      <c r="Y33" s="33">
        <f t="shared" si="9"/>
        <v>1482</v>
      </c>
      <c r="Z33" s="33">
        <f t="shared" si="9"/>
        <v>1482</v>
      </c>
      <c r="AA33" s="33">
        <f t="shared" si="9"/>
        <v>1482</v>
      </c>
    </row>
    <row r="34" spans="1:27" hidden="1" x14ac:dyDescent="0.25">
      <c r="A34" s="59" t="s">
        <v>163</v>
      </c>
      <c r="B34" s="60">
        <f t="shared" si="10"/>
        <v>0</v>
      </c>
      <c r="C34" s="60">
        <f t="shared" si="8"/>
        <v>0</v>
      </c>
      <c r="D34" s="60">
        <f t="shared" si="8"/>
        <v>0</v>
      </c>
      <c r="E34" s="60">
        <f t="shared" si="8"/>
        <v>0</v>
      </c>
      <c r="F34" s="60">
        <f t="shared" si="8"/>
        <v>0</v>
      </c>
      <c r="G34" s="60">
        <f t="shared" si="8"/>
        <v>0</v>
      </c>
      <c r="H34" s="60">
        <f t="shared" si="8"/>
        <v>0</v>
      </c>
      <c r="I34" s="60">
        <f t="shared" si="8"/>
        <v>0</v>
      </c>
      <c r="J34" s="60">
        <f t="shared" si="8"/>
        <v>0</v>
      </c>
      <c r="K34" s="60">
        <f t="shared" si="8"/>
        <v>0</v>
      </c>
      <c r="L34" s="60">
        <f t="shared" si="8"/>
        <v>0</v>
      </c>
      <c r="M34" s="41"/>
      <c r="N34" s="61">
        <f t="shared" si="11"/>
        <v>45139</v>
      </c>
      <c r="Q34" s="33">
        <f t="shared" si="12"/>
        <v>1483</v>
      </c>
      <c r="R34" s="33">
        <f t="shared" si="9"/>
        <v>1483</v>
      </c>
      <c r="S34" s="33">
        <f t="shared" si="9"/>
        <v>1483</v>
      </c>
      <c r="T34" s="33">
        <f t="shared" si="9"/>
        <v>1483</v>
      </c>
      <c r="U34" s="33">
        <f t="shared" si="9"/>
        <v>1483</v>
      </c>
      <c r="V34" s="33">
        <f t="shared" si="9"/>
        <v>1483</v>
      </c>
      <c r="W34" s="33">
        <f t="shared" si="9"/>
        <v>1483</v>
      </c>
      <c r="X34" s="33">
        <f t="shared" si="9"/>
        <v>1483</v>
      </c>
      <c r="Y34" s="33">
        <f t="shared" si="9"/>
        <v>1483</v>
      </c>
      <c r="Z34" s="33">
        <f t="shared" si="9"/>
        <v>1483</v>
      </c>
      <c r="AA34" s="33">
        <f t="shared" si="9"/>
        <v>1483</v>
      </c>
    </row>
    <row r="35" spans="1:27" hidden="1" x14ac:dyDescent="0.25">
      <c r="A35" s="59" t="s">
        <v>164</v>
      </c>
      <c r="B35" s="60">
        <f t="shared" si="10"/>
        <v>0</v>
      </c>
      <c r="C35" s="60">
        <f t="shared" si="8"/>
        <v>0</v>
      </c>
      <c r="D35" s="60">
        <f t="shared" si="8"/>
        <v>0</v>
      </c>
      <c r="E35" s="60">
        <f t="shared" si="8"/>
        <v>0</v>
      </c>
      <c r="F35" s="60">
        <f t="shared" si="8"/>
        <v>0</v>
      </c>
      <c r="G35" s="60">
        <f t="shared" si="8"/>
        <v>0</v>
      </c>
      <c r="H35" s="60">
        <f t="shared" si="8"/>
        <v>0</v>
      </c>
      <c r="I35" s="60">
        <f t="shared" si="8"/>
        <v>0</v>
      </c>
      <c r="J35" s="60">
        <f t="shared" si="8"/>
        <v>0</v>
      </c>
      <c r="K35" s="60">
        <f t="shared" si="8"/>
        <v>0</v>
      </c>
      <c r="L35" s="60">
        <f t="shared" si="8"/>
        <v>0</v>
      </c>
      <c r="M35" s="41"/>
      <c r="N35" s="61">
        <f t="shared" si="11"/>
        <v>45170</v>
      </c>
      <c r="Q35" s="33">
        <f t="shared" si="12"/>
        <v>1484</v>
      </c>
      <c r="R35" s="33">
        <f t="shared" si="9"/>
        <v>1484</v>
      </c>
      <c r="S35" s="33">
        <f t="shared" si="9"/>
        <v>1484</v>
      </c>
      <c r="T35" s="33">
        <f t="shared" si="9"/>
        <v>1484</v>
      </c>
      <c r="U35" s="33">
        <f t="shared" si="9"/>
        <v>1484</v>
      </c>
      <c r="V35" s="33">
        <f t="shared" si="9"/>
        <v>1484</v>
      </c>
      <c r="W35" s="33">
        <f t="shared" si="9"/>
        <v>1484</v>
      </c>
      <c r="X35" s="33">
        <f t="shared" si="9"/>
        <v>1484</v>
      </c>
      <c r="Y35" s="33">
        <f t="shared" si="9"/>
        <v>1484</v>
      </c>
      <c r="Z35" s="33">
        <f t="shared" si="9"/>
        <v>1484</v>
      </c>
      <c r="AA35" s="33">
        <f t="shared" si="9"/>
        <v>1484</v>
      </c>
    </row>
    <row r="36" spans="1:27" hidden="1" x14ac:dyDescent="0.25">
      <c r="A36" s="59" t="s">
        <v>165</v>
      </c>
      <c r="B36" s="60">
        <f t="shared" si="10"/>
        <v>0</v>
      </c>
      <c r="C36" s="60">
        <f t="shared" si="8"/>
        <v>0</v>
      </c>
      <c r="D36" s="60">
        <f t="shared" si="8"/>
        <v>0</v>
      </c>
      <c r="E36" s="60">
        <f t="shared" si="8"/>
        <v>0</v>
      </c>
      <c r="F36" s="60">
        <f t="shared" si="8"/>
        <v>0</v>
      </c>
      <c r="G36" s="60">
        <f t="shared" si="8"/>
        <v>0</v>
      </c>
      <c r="H36" s="60">
        <f t="shared" si="8"/>
        <v>0</v>
      </c>
      <c r="I36" s="60">
        <f t="shared" si="8"/>
        <v>0</v>
      </c>
      <c r="J36" s="60">
        <f t="shared" si="8"/>
        <v>0</v>
      </c>
      <c r="K36" s="60">
        <f t="shared" si="8"/>
        <v>0</v>
      </c>
      <c r="L36" s="60">
        <f t="shared" si="8"/>
        <v>0</v>
      </c>
      <c r="M36" s="41"/>
      <c r="N36" s="61">
        <f t="shared" si="11"/>
        <v>45200</v>
      </c>
      <c r="Q36" s="33">
        <f t="shared" si="12"/>
        <v>1485</v>
      </c>
      <c r="R36" s="33">
        <f t="shared" si="9"/>
        <v>1485</v>
      </c>
      <c r="S36" s="33">
        <f t="shared" si="9"/>
        <v>1485</v>
      </c>
      <c r="T36" s="33">
        <f t="shared" si="9"/>
        <v>1485</v>
      </c>
      <c r="U36" s="33">
        <f t="shared" si="9"/>
        <v>1485</v>
      </c>
      <c r="V36" s="33">
        <f t="shared" si="9"/>
        <v>1485</v>
      </c>
      <c r="W36" s="33">
        <f t="shared" si="9"/>
        <v>1485</v>
      </c>
      <c r="X36" s="33">
        <f t="shared" si="9"/>
        <v>1485</v>
      </c>
      <c r="Y36" s="33">
        <f t="shared" si="9"/>
        <v>1485</v>
      </c>
      <c r="Z36" s="33">
        <f t="shared" si="9"/>
        <v>1485</v>
      </c>
      <c r="AA36" s="33">
        <f t="shared" si="9"/>
        <v>1485</v>
      </c>
    </row>
    <row r="37" spans="1:27" hidden="1" x14ac:dyDescent="0.25">
      <c r="A37" s="59" t="s">
        <v>166</v>
      </c>
      <c r="B37" s="60">
        <f t="shared" si="10"/>
        <v>0</v>
      </c>
      <c r="C37" s="60">
        <f t="shared" si="8"/>
        <v>0</v>
      </c>
      <c r="D37" s="60">
        <f t="shared" si="8"/>
        <v>0</v>
      </c>
      <c r="E37" s="60">
        <f t="shared" si="8"/>
        <v>0</v>
      </c>
      <c r="F37" s="60">
        <f t="shared" si="8"/>
        <v>0</v>
      </c>
      <c r="G37" s="60">
        <f t="shared" si="8"/>
        <v>0</v>
      </c>
      <c r="H37" s="60">
        <f t="shared" si="8"/>
        <v>0</v>
      </c>
      <c r="I37" s="60">
        <f t="shared" si="8"/>
        <v>0</v>
      </c>
      <c r="J37" s="60">
        <f t="shared" si="8"/>
        <v>0</v>
      </c>
      <c r="K37" s="60">
        <f t="shared" si="8"/>
        <v>0</v>
      </c>
      <c r="L37" s="60">
        <f t="shared" si="8"/>
        <v>0</v>
      </c>
      <c r="M37" s="41"/>
      <c r="N37" s="61">
        <f t="shared" si="11"/>
        <v>45231</v>
      </c>
      <c r="Q37" s="33">
        <f t="shared" si="12"/>
        <v>1486</v>
      </c>
      <c r="R37" s="33">
        <f t="shared" si="9"/>
        <v>1486</v>
      </c>
      <c r="S37" s="33">
        <f t="shared" si="9"/>
        <v>1486</v>
      </c>
      <c r="T37" s="33">
        <f t="shared" si="9"/>
        <v>1486</v>
      </c>
      <c r="U37" s="33">
        <f t="shared" si="9"/>
        <v>1486</v>
      </c>
      <c r="V37" s="33">
        <f t="shared" si="9"/>
        <v>1486</v>
      </c>
      <c r="W37" s="33">
        <f t="shared" si="9"/>
        <v>1486</v>
      </c>
      <c r="X37" s="33">
        <f t="shared" si="9"/>
        <v>1486</v>
      </c>
      <c r="Y37" s="33">
        <f t="shared" si="9"/>
        <v>1486</v>
      </c>
      <c r="Z37" s="33">
        <f t="shared" si="9"/>
        <v>1486</v>
      </c>
      <c r="AA37" s="33">
        <f t="shared" si="9"/>
        <v>1486</v>
      </c>
    </row>
    <row r="38" spans="1:27" hidden="1" x14ac:dyDescent="0.25">
      <c r="A38" s="59" t="s">
        <v>167</v>
      </c>
      <c r="B38" s="60">
        <f t="shared" si="10"/>
        <v>0</v>
      </c>
      <c r="C38" s="60">
        <f t="shared" si="8"/>
        <v>0</v>
      </c>
      <c r="D38" s="60">
        <f t="shared" si="8"/>
        <v>0</v>
      </c>
      <c r="E38" s="60">
        <f t="shared" si="8"/>
        <v>0</v>
      </c>
      <c r="F38" s="60">
        <f t="shared" si="8"/>
        <v>0</v>
      </c>
      <c r="G38" s="60">
        <f t="shared" si="8"/>
        <v>0</v>
      </c>
      <c r="H38" s="60">
        <f t="shared" si="8"/>
        <v>0</v>
      </c>
      <c r="I38" s="60">
        <f t="shared" si="8"/>
        <v>0</v>
      </c>
      <c r="J38" s="60">
        <f t="shared" si="8"/>
        <v>0</v>
      </c>
      <c r="K38" s="60">
        <f t="shared" si="8"/>
        <v>0</v>
      </c>
      <c r="L38" s="60">
        <f t="shared" si="8"/>
        <v>0</v>
      </c>
      <c r="M38" s="41"/>
      <c r="N38" s="61">
        <f t="shared" si="11"/>
        <v>45261</v>
      </c>
      <c r="Q38" s="33">
        <f t="shared" si="12"/>
        <v>1487</v>
      </c>
      <c r="R38" s="33">
        <f t="shared" si="9"/>
        <v>1487</v>
      </c>
      <c r="S38" s="33">
        <f t="shared" si="9"/>
        <v>1487</v>
      </c>
      <c r="T38" s="33">
        <f t="shared" si="9"/>
        <v>1487</v>
      </c>
      <c r="U38" s="33">
        <f t="shared" si="9"/>
        <v>1487</v>
      </c>
      <c r="V38" s="33">
        <f t="shared" si="9"/>
        <v>1487</v>
      </c>
      <c r="W38" s="33">
        <f t="shared" si="9"/>
        <v>1487</v>
      </c>
      <c r="X38" s="33">
        <f t="shared" si="9"/>
        <v>1487</v>
      </c>
      <c r="Y38" s="33">
        <f t="shared" si="9"/>
        <v>1487</v>
      </c>
      <c r="Z38" s="33">
        <f t="shared" si="9"/>
        <v>1487</v>
      </c>
      <c r="AA38" s="33">
        <f t="shared" si="9"/>
        <v>1487</v>
      </c>
    </row>
    <row r="39" spans="1:27" hidden="1" x14ac:dyDescent="0.25">
      <c r="A39" s="59" t="s">
        <v>168</v>
      </c>
      <c r="B39" s="60">
        <f t="shared" si="10"/>
        <v>0</v>
      </c>
      <c r="C39" s="60">
        <f t="shared" si="8"/>
        <v>0</v>
      </c>
      <c r="D39" s="60">
        <f t="shared" si="8"/>
        <v>0</v>
      </c>
      <c r="E39" s="60">
        <f t="shared" si="8"/>
        <v>0</v>
      </c>
      <c r="F39" s="60">
        <f t="shared" si="8"/>
        <v>0</v>
      </c>
      <c r="G39" s="60">
        <f t="shared" si="8"/>
        <v>0</v>
      </c>
      <c r="H39" s="60">
        <f t="shared" si="8"/>
        <v>0</v>
      </c>
      <c r="I39" s="60">
        <f t="shared" si="8"/>
        <v>0</v>
      </c>
      <c r="J39" s="60">
        <f t="shared" si="8"/>
        <v>0</v>
      </c>
      <c r="K39" s="60">
        <f t="shared" si="8"/>
        <v>0</v>
      </c>
      <c r="L39" s="60">
        <f t="shared" si="8"/>
        <v>0</v>
      </c>
      <c r="M39" s="41"/>
      <c r="N39" s="61">
        <f t="shared" si="11"/>
        <v>45292</v>
      </c>
      <c r="Q39" s="33">
        <f t="shared" si="12"/>
        <v>1488</v>
      </c>
      <c r="R39" s="33">
        <f t="shared" si="9"/>
        <v>1488</v>
      </c>
      <c r="S39" s="33">
        <f t="shared" si="9"/>
        <v>1488</v>
      </c>
      <c r="T39" s="33">
        <f t="shared" si="9"/>
        <v>1488</v>
      </c>
      <c r="U39" s="33">
        <f t="shared" si="9"/>
        <v>1488</v>
      </c>
      <c r="V39" s="33">
        <f t="shared" si="9"/>
        <v>1488</v>
      </c>
      <c r="W39" s="33">
        <f t="shared" si="9"/>
        <v>1488</v>
      </c>
      <c r="X39" s="33">
        <f t="shared" si="9"/>
        <v>1488</v>
      </c>
      <c r="Y39" s="33">
        <f t="shared" si="9"/>
        <v>1488</v>
      </c>
      <c r="Z39" s="33">
        <f t="shared" si="9"/>
        <v>1488</v>
      </c>
      <c r="AA39" s="33">
        <f t="shared" si="9"/>
        <v>1488</v>
      </c>
    </row>
    <row r="40" spans="1:27" hidden="1" x14ac:dyDescent="0.25">
      <c r="A40" s="59" t="s">
        <v>169</v>
      </c>
      <c r="B40" s="60">
        <f t="shared" si="10"/>
        <v>0</v>
      </c>
      <c r="C40" s="60">
        <f t="shared" si="8"/>
        <v>0</v>
      </c>
      <c r="D40" s="60">
        <f t="shared" si="8"/>
        <v>0</v>
      </c>
      <c r="E40" s="60">
        <f t="shared" si="8"/>
        <v>0</v>
      </c>
      <c r="F40" s="60">
        <f t="shared" si="8"/>
        <v>0</v>
      </c>
      <c r="G40" s="60">
        <f t="shared" si="8"/>
        <v>0</v>
      </c>
      <c r="H40" s="60">
        <f t="shared" si="8"/>
        <v>0</v>
      </c>
      <c r="I40" s="60">
        <f t="shared" si="8"/>
        <v>0</v>
      </c>
      <c r="J40" s="60">
        <f t="shared" si="8"/>
        <v>0</v>
      </c>
      <c r="K40" s="60">
        <f t="shared" si="8"/>
        <v>0</v>
      </c>
      <c r="L40" s="60">
        <f t="shared" si="8"/>
        <v>0</v>
      </c>
      <c r="M40" s="41"/>
      <c r="N40" s="61">
        <f t="shared" si="11"/>
        <v>45323</v>
      </c>
      <c r="Q40" s="33">
        <f t="shared" si="12"/>
        <v>1489</v>
      </c>
      <c r="R40" s="33">
        <f t="shared" si="9"/>
        <v>1489</v>
      </c>
      <c r="S40" s="33">
        <f t="shared" si="9"/>
        <v>1489</v>
      </c>
      <c r="T40" s="33">
        <f t="shared" si="9"/>
        <v>1489</v>
      </c>
      <c r="U40" s="33">
        <f t="shared" si="9"/>
        <v>1489</v>
      </c>
      <c r="V40" s="33">
        <f t="shared" si="9"/>
        <v>1489</v>
      </c>
      <c r="W40" s="33">
        <f t="shared" si="9"/>
        <v>1489</v>
      </c>
      <c r="X40" s="33">
        <f t="shared" si="9"/>
        <v>1489</v>
      </c>
      <c r="Y40" s="33">
        <f t="shared" si="9"/>
        <v>1489</v>
      </c>
      <c r="Z40" s="33">
        <f t="shared" si="9"/>
        <v>1489</v>
      </c>
      <c r="AA40" s="33">
        <f t="shared" si="9"/>
        <v>1489</v>
      </c>
    </row>
    <row r="41" spans="1:27" hidden="1" x14ac:dyDescent="0.25">
      <c r="A41" s="59" t="s">
        <v>170</v>
      </c>
      <c r="B41" s="60">
        <f t="shared" si="10"/>
        <v>0</v>
      </c>
      <c r="C41" s="60">
        <f t="shared" si="8"/>
        <v>0</v>
      </c>
      <c r="D41" s="60">
        <f t="shared" si="8"/>
        <v>0</v>
      </c>
      <c r="E41" s="60">
        <f t="shared" si="8"/>
        <v>0</v>
      </c>
      <c r="F41" s="60">
        <f t="shared" si="8"/>
        <v>0</v>
      </c>
      <c r="G41" s="60">
        <f t="shared" si="8"/>
        <v>0</v>
      </c>
      <c r="H41" s="60">
        <f t="shared" si="8"/>
        <v>0</v>
      </c>
      <c r="I41" s="60">
        <f t="shared" si="8"/>
        <v>0</v>
      </c>
      <c r="J41" s="60">
        <f t="shared" si="8"/>
        <v>0</v>
      </c>
      <c r="K41" s="60">
        <f t="shared" si="8"/>
        <v>0</v>
      </c>
      <c r="L41" s="60">
        <f t="shared" si="8"/>
        <v>0</v>
      </c>
      <c r="M41" s="41"/>
      <c r="N41" s="61">
        <f t="shared" si="11"/>
        <v>45352</v>
      </c>
      <c r="Q41" s="33">
        <f t="shared" si="12"/>
        <v>1490</v>
      </c>
      <c r="R41" s="33">
        <f t="shared" si="9"/>
        <v>1490</v>
      </c>
      <c r="S41" s="33">
        <f t="shared" si="9"/>
        <v>1490</v>
      </c>
      <c r="T41" s="33">
        <f t="shared" si="9"/>
        <v>1490</v>
      </c>
      <c r="U41" s="33">
        <f t="shared" si="9"/>
        <v>1490</v>
      </c>
      <c r="V41" s="33">
        <f t="shared" si="9"/>
        <v>1490</v>
      </c>
      <c r="W41" s="33">
        <f t="shared" si="9"/>
        <v>1490</v>
      </c>
      <c r="X41" s="33">
        <f t="shared" si="9"/>
        <v>1490</v>
      </c>
      <c r="Y41" s="33">
        <f t="shared" si="9"/>
        <v>1490</v>
      </c>
      <c r="Z41" s="33">
        <f t="shared" si="9"/>
        <v>1490</v>
      </c>
      <c r="AA41" s="33">
        <f t="shared" si="9"/>
        <v>1490</v>
      </c>
    </row>
    <row r="42" spans="1:27" hidden="1" x14ac:dyDescent="0.25">
      <c r="A42" s="39" t="s">
        <v>171</v>
      </c>
    </row>
    <row r="43" spans="1:27" hidden="1" x14ac:dyDescent="0.25">
      <c r="A43" s="59" t="s">
        <v>160</v>
      </c>
      <c r="B43" s="60">
        <f>MAX(IF(AND(B$20&lt;=$N30,B$21&gt;$N30,Q43&lt;B$22),IF(B$23&gt;0,IPMT(B$23/12,Q43+1,B$22,-B$17)*B$28/B$23,(B$17-(Q43*B$24))*B$26/12),0),0)</f>
        <v>0</v>
      </c>
      <c r="C43" s="60">
        <f t="shared" ref="C43:L43" si="13">MAX(IF(AND(C$20&lt;=$N30,C$21&gt;$N30,R43&lt;C$22),IF(C$23&gt;0,IPMT(C$23/12,R43+1,C$22,-C$17)*C$28/C$23,(C$17-(R43*C$24))*C$26/12),0),0)</f>
        <v>0</v>
      </c>
      <c r="D43" s="60">
        <f t="shared" si="13"/>
        <v>0</v>
      </c>
      <c r="E43" s="60">
        <f t="shared" si="13"/>
        <v>0</v>
      </c>
      <c r="F43" s="60">
        <f t="shared" si="13"/>
        <v>0</v>
      </c>
      <c r="G43" s="60">
        <f t="shared" si="13"/>
        <v>0</v>
      </c>
      <c r="H43" s="60">
        <f t="shared" si="13"/>
        <v>0</v>
      </c>
      <c r="I43" s="60">
        <f t="shared" si="13"/>
        <v>0</v>
      </c>
      <c r="J43" s="60">
        <f t="shared" si="13"/>
        <v>0</v>
      </c>
      <c r="K43" s="60">
        <f t="shared" si="13"/>
        <v>0</v>
      </c>
      <c r="L43" s="60">
        <f t="shared" si="13"/>
        <v>0</v>
      </c>
      <c r="Q43" s="33">
        <f>ROUND(DAYS360(DATE(YEAR(B$18),MONTH(B$18),1),$N30)/30,0)</f>
        <v>1479</v>
      </c>
      <c r="R43" s="33">
        <f t="shared" ref="R43:AA54" si="14">ROUND(DAYS360(DATE(YEAR(C$18),MONTH(C$18),1),$N30)/30,0)</f>
        <v>1479</v>
      </c>
      <c r="S43" s="33">
        <f t="shared" si="14"/>
        <v>1479</v>
      </c>
      <c r="T43" s="33">
        <f t="shared" si="14"/>
        <v>1479</v>
      </c>
      <c r="U43" s="33">
        <f t="shared" si="14"/>
        <v>1479</v>
      </c>
      <c r="V43" s="33">
        <f t="shared" si="14"/>
        <v>1479</v>
      </c>
      <c r="W43" s="33">
        <f t="shared" si="14"/>
        <v>1479</v>
      </c>
      <c r="X43" s="33">
        <f t="shared" si="14"/>
        <v>1479</v>
      </c>
      <c r="Y43" s="33">
        <f t="shared" si="14"/>
        <v>1479</v>
      </c>
      <c r="Z43" s="33">
        <f t="shared" si="14"/>
        <v>1479</v>
      </c>
      <c r="AA43" s="33">
        <f t="shared" si="14"/>
        <v>1479</v>
      </c>
    </row>
    <row r="44" spans="1:27" hidden="1" x14ac:dyDescent="0.25">
      <c r="A44" s="59" t="s">
        <v>17</v>
      </c>
      <c r="B44" s="60">
        <f t="shared" ref="B44:B54" si="15">MAX(IF(AND(B$20&lt;=$N31,B$21&gt;$N31,Q44&lt;B$22),IF(B$23&gt;0,IPMT(B$23/12,Q44+1,B$22,-B$17)*B$28/B$23,(B$17-(Q44*B$24))*B$26/12),0),0)</f>
        <v>0</v>
      </c>
      <c r="C44" s="60">
        <f t="shared" ref="C44:C54" si="16">MAX(IF(AND(C$20&lt;=$N31,C$21&gt;$N31,R44&lt;C$22),IF(C$23&gt;0,IPMT(C$23/12,R44+1,C$22,-C$17)*C$28/C$23,(C$17-(R44*C$24))*C$26/12),0),0)</f>
        <v>0</v>
      </c>
      <c r="D44" s="60">
        <f t="shared" ref="D44:D54" si="17">MAX(IF(AND(D$20&lt;=$N31,D$21&gt;$N31,S44&lt;D$22),IF(D$23&gt;0,IPMT(D$23/12,S44+1,D$22,-D$17)*D$28/D$23,(D$17-(S44*D$24))*D$26/12),0),0)</f>
        <v>0</v>
      </c>
      <c r="E44" s="60">
        <f t="shared" ref="E44:E54" si="18">MAX(IF(AND(E$20&lt;=$N31,E$21&gt;$N31,T44&lt;E$22),IF(E$23&gt;0,IPMT(E$23/12,T44+1,E$22,-E$17)*E$28/E$23,(E$17-(T44*E$24))*E$26/12),0),0)</f>
        <v>0</v>
      </c>
      <c r="F44" s="60">
        <f t="shared" ref="F44:F54" si="19">MAX(IF(AND(F$20&lt;=$N31,F$21&gt;$N31,U44&lt;F$22),IF(F$23&gt;0,IPMT(F$23/12,U44+1,F$22,-F$17)*F$28/F$23,(F$17-(U44*F$24))*F$26/12),0),0)</f>
        <v>0</v>
      </c>
      <c r="G44" s="60">
        <f t="shared" ref="G44:G54" si="20">MAX(IF(AND(G$20&lt;=$N31,G$21&gt;$N31,V44&lt;G$22),IF(G$23&gt;0,IPMT(G$23/12,V44+1,G$22,-G$17)*G$28/G$23,(G$17-(V44*G$24))*G$26/12),0),0)</f>
        <v>0</v>
      </c>
      <c r="H44" s="60">
        <f t="shared" ref="H44:H54" si="21">MAX(IF(AND(H$20&lt;=$N31,H$21&gt;$N31,W44&lt;H$22),IF(H$23&gt;0,IPMT(H$23/12,W44+1,H$22,-H$17)*H$28/H$23,(H$17-(W44*H$24))*H$26/12),0),0)</f>
        <v>0</v>
      </c>
      <c r="I44" s="60">
        <f t="shared" ref="I44:I54" si="22">MAX(IF(AND(I$20&lt;=$N31,I$21&gt;$N31,X44&lt;I$22),IF(I$23&gt;0,IPMT(I$23/12,X44+1,I$22,-I$17)*I$28/I$23,(I$17-(X44*I$24))*I$26/12),0),0)</f>
        <v>0</v>
      </c>
      <c r="J44" s="60">
        <f t="shared" ref="J44:J54" si="23">MAX(IF(AND(J$20&lt;=$N31,J$21&gt;$N31,Y44&lt;J$22),IF(J$23&gt;0,IPMT(J$23/12,Y44+1,J$22,-J$17)*J$28/J$23,(J$17-(Y44*J$24))*J$26/12),0),0)</f>
        <v>0</v>
      </c>
      <c r="K44" s="60">
        <f t="shared" ref="K44:K54" si="24">MAX(IF(AND(K$20&lt;=$N31,K$21&gt;$N31,Z44&lt;K$22),IF(K$23&gt;0,IPMT(K$23/12,Z44+1,K$22,-K$17)*K$28/K$23,(K$17-(Z44*K$24))*K$26/12),0),0)</f>
        <v>0</v>
      </c>
      <c r="L44" s="60">
        <f t="shared" ref="L44:L54" si="25">MAX(IF(AND(L$20&lt;=$N31,L$21&gt;$N31,AA44&lt;L$22),IF(L$23&gt;0,IPMT(L$23/12,AA44+1,L$22,-L$17)*L$28/L$23,(L$17-(AA44*L$24))*L$26/12),0),0)</f>
        <v>0</v>
      </c>
      <c r="Q44" s="33">
        <f t="shared" ref="Q44:Q54" si="26">ROUND(DAYS360(DATE(YEAR(B$18),MONTH(B$18),1),$N31)/30,0)</f>
        <v>1480</v>
      </c>
      <c r="R44" s="33">
        <f t="shared" si="14"/>
        <v>1480</v>
      </c>
      <c r="S44" s="33">
        <f t="shared" si="14"/>
        <v>1480</v>
      </c>
      <c r="T44" s="33">
        <f t="shared" si="14"/>
        <v>1480</v>
      </c>
      <c r="U44" s="33">
        <f t="shared" si="14"/>
        <v>1480</v>
      </c>
      <c r="V44" s="33">
        <f t="shared" si="14"/>
        <v>1480</v>
      </c>
      <c r="W44" s="33">
        <f t="shared" si="14"/>
        <v>1480</v>
      </c>
      <c r="X44" s="33">
        <f t="shared" si="14"/>
        <v>1480</v>
      </c>
      <c r="Y44" s="33">
        <f t="shared" si="14"/>
        <v>1480</v>
      </c>
      <c r="Z44" s="33">
        <f t="shared" si="14"/>
        <v>1480</v>
      </c>
      <c r="AA44" s="33">
        <f t="shared" si="14"/>
        <v>1480</v>
      </c>
    </row>
    <row r="45" spans="1:27" s="62" customFormat="1" hidden="1" x14ac:dyDescent="0.25">
      <c r="A45" s="59" t="s">
        <v>161</v>
      </c>
      <c r="B45" s="60">
        <f t="shared" si="15"/>
        <v>0</v>
      </c>
      <c r="C45" s="60">
        <f t="shared" si="16"/>
        <v>0</v>
      </c>
      <c r="D45" s="60">
        <f t="shared" si="17"/>
        <v>0</v>
      </c>
      <c r="E45" s="60">
        <f t="shared" si="18"/>
        <v>0</v>
      </c>
      <c r="F45" s="60">
        <f t="shared" si="19"/>
        <v>0</v>
      </c>
      <c r="G45" s="60">
        <f t="shared" si="20"/>
        <v>0</v>
      </c>
      <c r="H45" s="60">
        <f t="shared" si="21"/>
        <v>0</v>
      </c>
      <c r="I45" s="60">
        <f t="shared" si="22"/>
        <v>0</v>
      </c>
      <c r="J45" s="60">
        <f t="shared" si="23"/>
        <v>0</v>
      </c>
      <c r="K45" s="60">
        <f t="shared" si="24"/>
        <v>0</v>
      </c>
      <c r="L45" s="60">
        <f t="shared" si="25"/>
        <v>0</v>
      </c>
      <c r="Q45" s="33">
        <f t="shared" si="26"/>
        <v>1481</v>
      </c>
      <c r="R45" s="33">
        <f t="shared" si="14"/>
        <v>1481</v>
      </c>
      <c r="S45" s="33">
        <f t="shared" si="14"/>
        <v>1481</v>
      </c>
      <c r="T45" s="33">
        <f t="shared" si="14"/>
        <v>1481</v>
      </c>
      <c r="U45" s="33">
        <f t="shared" si="14"/>
        <v>1481</v>
      </c>
      <c r="V45" s="33">
        <f t="shared" si="14"/>
        <v>1481</v>
      </c>
      <c r="W45" s="33">
        <f t="shared" si="14"/>
        <v>1481</v>
      </c>
      <c r="X45" s="33">
        <f t="shared" si="14"/>
        <v>1481</v>
      </c>
      <c r="Y45" s="33">
        <f t="shared" si="14"/>
        <v>1481</v>
      </c>
      <c r="Z45" s="33">
        <f t="shared" si="14"/>
        <v>1481</v>
      </c>
      <c r="AA45" s="33">
        <f t="shared" si="14"/>
        <v>1481</v>
      </c>
    </row>
    <row r="46" spans="1:27" s="62" customFormat="1" hidden="1" x14ac:dyDescent="0.25">
      <c r="A46" s="59" t="s">
        <v>162</v>
      </c>
      <c r="B46" s="60">
        <f t="shared" si="15"/>
        <v>0</v>
      </c>
      <c r="C46" s="60">
        <f t="shared" si="16"/>
        <v>0</v>
      </c>
      <c r="D46" s="60">
        <f t="shared" si="17"/>
        <v>0</v>
      </c>
      <c r="E46" s="60">
        <f t="shared" si="18"/>
        <v>0</v>
      </c>
      <c r="F46" s="60">
        <f t="shared" si="19"/>
        <v>0</v>
      </c>
      <c r="G46" s="60">
        <f t="shared" si="20"/>
        <v>0</v>
      </c>
      <c r="H46" s="60">
        <f t="shared" si="21"/>
        <v>0</v>
      </c>
      <c r="I46" s="60">
        <f t="shared" si="22"/>
        <v>0</v>
      </c>
      <c r="J46" s="60">
        <f t="shared" si="23"/>
        <v>0</v>
      </c>
      <c r="K46" s="60">
        <f t="shared" si="24"/>
        <v>0</v>
      </c>
      <c r="L46" s="60">
        <f t="shared" si="25"/>
        <v>0</v>
      </c>
      <c r="Q46" s="33">
        <f t="shared" si="26"/>
        <v>1482</v>
      </c>
      <c r="R46" s="33">
        <f t="shared" si="14"/>
        <v>1482</v>
      </c>
      <c r="S46" s="33">
        <f t="shared" si="14"/>
        <v>1482</v>
      </c>
      <c r="T46" s="33">
        <f t="shared" si="14"/>
        <v>1482</v>
      </c>
      <c r="U46" s="33">
        <f t="shared" si="14"/>
        <v>1482</v>
      </c>
      <c r="V46" s="33">
        <f t="shared" si="14"/>
        <v>1482</v>
      </c>
      <c r="W46" s="33">
        <f t="shared" si="14"/>
        <v>1482</v>
      </c>
      <c r="X46" s="33">
        <f t="shared" si="14"/>
        <v>1482</v>
      </c>
      <c r="Y46" s="33">
        <f t="shared" si="14"/>
        <v>1482</v>
      </c>
      <c r="Z46" s="33">
        <f t="shared" si="14"/>
        <v>1482</v>
      </c>
      <c r="AA46" s="33">
        <f t="shared" si="14"/>
        <v>1482</v>
      </c>
    </row>
    <row r="47" spans="1:27" s="62" customFormat="1" hidden="1" x14ac:dyDescent="0.25">
      <c r="A47" s="59" t="s">
        <v>163</v>
      </c>
      <c r="B47" s="60">
        <f t="shared" si="15"/>
        <v>0</v>
      </c>
      <c r="C47" s="60">
        <f t="shared" si="16"/>
        <v>0</v>
      </c>
      <c r="D47" s="60">
        <f t="shared" si="17"/>
        <v>0</v>
      </c>
      <c r="E47" s="60">
        <f t="shared" si="18"/>
        <v>0</v>
      </c>
      <c r="F47" s="60">
        <f t="shared" si="19"/>
        <v>0</v>
      </c>
      <c r="G47" s="60">
        <f t="shared" si="20"/>
        <v>0</v>
      </c>
      <c r="H47" s="60">
        <f t="shared" si="21"/>
        <v>0</v>
      </c>
      <c r="I47" s="60">
        <f t="shared" si="22"/>
        <v>0</v>
      </c>
      <c r="J47" s="60">
        <f t="shared" si="23"/>
        <v>0</v>
      </c>
      <c r="K47" s="60">
        <f t="shared" si="24"/>
        <v>0</v>
      </c>
      <c r="L47" s="60">
        <f t="shared" si="25"/>
        <v>0</v>
      </c>
      <c r="Q47" s="33">
        <f t="shared" si="26"/>
        <v>1483</v>
      </c>
      <c r="R47" s="33">
        <f t="shared" si="14"/>
        <v>1483</v>
      </c>
      <c r="S47" s="33">
        <f t="shared" si="14"/>
        <v>1483</v>
      </c>
      <c r="T47" s="33">
        <f t="shared" si="14"/>
        <v>1483</v>
      </c>
      <c r="U47" s="33">
        <f t="shared" si="14"/>
        <v>1483</v>
      </c>
      <c r="V47" s="33">
        <f t="shared" si="14"/>
        <v>1483</v>
      </c>
      <c r="W47" s="33">
        <f t="shared" si="14"/>
        <v>1483</v>
      </c>
      <c r="X47" s="33">
        <f t="shared" si="14"/>
        <v>1483</v>
      </c>
      <c r="Y47" s="33">
        <f t="shared" si="14"/>
        <v>1483</v>
      </c>
      <c r="Z47" s="33">
        <f t="shared" si="14"/>
        <v>1483</v>
      </c>
      <c r="AA47" s="33">
        <f t="shared" si="14"/>
        <v>1483</v>
      </c>
    </row>
    <row r="48" spans="1:27" s="62" customFormat="1" hidden="1" x14ac:dyDescent="0.25">
      <c r="A48" s="59" t="s">
        <v>164</v>
      </c>
      <c r="B48" s="60">
        <f t="shared" si="15"/>
        <v>0</v>
      </c>
      <c r="C48" s="60">
        <f t="shared" si="16"/>
        <v>0</v>
      </c>
      <c r="D48" s="60">
        <f t="shared" si="17"/>
        <v>0</v>
      </c>
      <c r="E48" s="60">
        <f t="shared" si="18"/>
        <v>0</v>
      </c>
      <c r="F48" s="60">
        <f t="shared" si="19"/>
        <v>0</v>
      </c>
      <c r="G48" s="60">
        <f t="shared" si="20"/>
        <v>0</v>
      </c>
      <c r="H48" s="60">
        <f t="shared" si="21"/>
        <v>0</v>
      </c>
      <c r="I48" s="60">
        <f t="shared" si="22"/>
        <v>0</v>
      </c>
      <c r="J48" s="60">
        <f t="shared" si="23"/>
        <v>0</v>
      </c>
      <c r="K48" s="60">
        <f t="shared" si="24"/>
        <v>0</v>
      </c>
      <c r="L48" s="60">
        <f t="shared" si="25"/>
        <v>0</v>
      </c>
      <c r="Q48" s="33">
        <f t="shared" si="26"/>
        <v>1484</v>
      </c>
      <c r="R48" s="33">
        <f t="shared" si="14"/>
        <v>1484</v>
      </c>
      <c r="S48" s="33">
        <f t="shared" si="14"/>
        <v>1484</v>
      </c>
      <c r="T48" s="33">
        <f t="shared" si="14"/>
        <v>1484</v>
      </c>
      <c r="U48" s="33">
        <f t="shared" si="14"/>
        <v>1484</v>
      </c>
      <c r="V48" s="33">
        <f t="shared" si="14"/>
        <v>1484</v>
      </c>
      <c r="W48" s="33">
        <f t="shared" si="14"/>
        <v>1484</v>
      </c>
      <c r="X48" s="33">
        <f t="shared" si="14"/>
        <v>1484</v>
      </c>
      <c r="Y48" s="33">
        <f t="shared" si="14"/>
        <v>1484</v>
      </c>
      <c r="Z48" s="33">
        <f t="shared" si="14"/>
        <v>1484</v>
      </c>
      <c r="AA48" s="33">
        <f t="shared" si="14"/>
        <v>1484</v>
      </c>
    </row>
    <row r="49" spans="1:27" s="62" customFormat="1" hidden="1" x14ac:dyDescent="0.25">
      <c r="A49" s="59" t="s">
        <v>165</v>
      </c>
      <c r="B49" s="60">
        <f t="shared" si="15"/>
        <v>0</v>
      </c>
      <c r="C49" s="60">
        <f t="shared" si="16"/>
        <v>0</v>
      </c>
      <c r="D49" s="60">
        <f t="shared" si="17"/>
        <v>0</v>
      </c>
      <c r="E49" s="60">
        <f t="shared" si="18"/>
        <v>0</v>
      </c>
      <c r="F49" s="60">
        <f t="shared" si="19"/>
        <v>0</v>
      </c>
      <c r="G49" s="60">
        <f t="shared" si="20"/>
        <v>0</v>
      </c>
      <c r="H49" s="60">
        <f t="shared" si="21"/>
        <v>0</v>
      </c>
      <c r="I49" s="60">
        <f t="shared" si="22"/>
        <v>0</v>
      </c>
      <c r="J49" s="60">
        <f t="shared" si="23"/>
        <v>0</v>
      </c>
      <c r="K49" s="60">
        <f t="shared" si="24"/>
        <v>0</v>
      </c>
      <c r="L49" s="60">
        <f t="shared" si="25"/>
        <v>0</v>
      </c>
      <c r="Q49" s="33">
        <f t="shared" si="26"/>
        <v>1485</v>
      </c>
      <c r="R49" s="33">
        <f t="shared" si="14"/>
        <v>1485</v>
      </c>
      <c r="S49" s="33">
        <f t="shared" si="14"/>
        <v>1485</v>
      </c>
      <c r="T49" s="33">
        <f t="shared" si="14"/>
        <v>1485</v>
      </c>
      <c r="U49" s="33">
        <f t="shared" si="14"/>
        <v>1485</v>
      </c>
      <c r="V49" s="33">
        <f t="shared" si="14"/>
        <v>1485</v>
      </c>
      <c r="W49" s="33">
        <f t="shared" si="14"/>
        <v>1485</v>
      </c>
      <c r="X49" s="33">
        <f t="shared" si="14"/>
        <v>1485</v>
      </c>
      <c r="Y49" s="33">
        <f t="shared" si="14"/>
        <v>1485</v>
      </c>
      <c r="Z49" s="33">
        <f t="shared" si="14"/>
        <v>1485</v>
      </c>
      <c r="AA49" s="33">
        <f t="shared" si="14"/>
        <v>1485</v>
      </c>
    </row>
    <row r="50" spans="1:27" s="62" customFormat="1" hidden="1" x14ac:dyDescent="0.25">
      <c r="A50" s="59" t="s">
        <v>166</v>
      </c>
      <c r="B50" s="60">
        <f t="shared" si="15"/>
        <v>0</v>
      </c>
      <c r="C50" s="60">
        <f t="shared" si="16"/>
        <v>0</v>
      </c>
      <c r="D50" s="60">
        <f t="shared" si="17"/>
        <v>0</v>
      </c>
      <c r="E50" s="60">
        <f t="shared" si="18"/>
        <v>0</v>
      </c>
      <c r="F50" s="60">
        <f t="shared" si="19"/>
        <v>0</v>
      </c>
      <c r="G50" s="60">
        <f t="shared" si="20"/>
        <v>0</v>
      </c>
      <c r="H50" s="60">
        <f t="shared" si="21"/>
        <v>0</v>
      </c>
      <c r="I50" s="60">
        <f t="shared" si="22"/>
        <v>0</v>
      </c>
      <c r="J50" s="60">
        <f t="shared" si="23"/>
        <v>0</v>
      </c>
      <c r="K50" s="60">
        <f t="shared" si="24"/>
        <v>0</v>
      </c>
      <c r="L50" s="60">
        <f t="shared" si="25"/>
        <v>0</v>
      </c>
      <c r="Q50" s="33">
        <f t="shared" si="26"/>
        <v>1486</v>
      </c>
      <c r="R50" s="33">
        <f t="shared" si="14"/>
        <v>1486</v>
      </c>
      <c r="S50" s="33">
        <f t="shared" si="14"/>
        <v>1486</v>
      </c>
      <c r="T50" s="33">
        <f t="shared" si="14"/>
        <v>1486</v>
      </c>
      <c r="U50" s="33">
        <f t="shared" si="14"/>
        <v>1486</v>
      </c>
      <c r="V50" s="33">
        <f t="shared" si="14"/>
        <v>1486</v>
      </c>
      <c r="W50" s="33">
        <f t="shared" si="14"/>
        <v>1486</v>
      </c>
      <c r="X50" s="33">
        <f t="shared" si="14"/>
        <v>1486</v>
      </c>
      <c r="Y50" s="33">
        <f t="shared" si="14"/>
        <v>1486</v>
      </c>
      <c r="Z50" s="33">
        <f t="shared" si="14"/>
        <v>1486</v>
      </c>
      <c r="AA50" s="33">
        <f t="shared" si="14"/>
        <v>1486</v>
      </c>
    </row>
    <row r="51" spans="1:27" s="62" customFormat="1" hidden="1" x14ac:dyDescent="0.25">
      <c r="A51" s="59" t="s">
        <v>167</v>
      </c>
      <c r="B51" s="60">
        <f t="shared" si="15"/>
        <v>0</v>
      </c>
      <c r="C51" s="60">
        <f t="shared" si="16"/>
        <v>0</v>
      </c>
      <c r="D51" s="60">
        <f t="shared" si="17"/>
        <v>0</v>
      </c>
      <c r="E51" s="60">
        <f t="shared" si="18"/>
        <v>0</v>
      </c>
      <c r="F51" s="60">
        <f t="shared" si="19"/>
        <v>0</v>
      </c>
      <c r="G51" s="60">
        <f t="shared" si="20"/>
        <v>0</v>
      </c>
      <c r="H51" s="60">
        <f t="shared" si="21"/>
        <v>0</v>
      </c>
      <c r="I51" s="60">
        <f t="shared" si="22"/>
        <v>0</v>
      </c>
      <c r="J51" s="60">
        <f t="shared" si="23"/>
        <v>0</v>
      </c>
      <c r="K51" s="60">
        <f t="shared" si="24"/>
        <v>0</v>
      </c>
      <c r="L51" s="60">
        <f t="shared" si="25"/>
        <v>0</v>
      </c>
      <c r="Q51" s="33">
        <f t="shared" si="26"/>
        <v>1487</v>
      </c>
      <c r="R51" s="33">
        <f t="shared" si="14"/>
        <v>1487</v>
      </c>
      <c r="S51" s="33">
        <f t="shared" si="14"/>
        <v>1487</v>
      </c>
      <c r="T51" s="33">
        <f t="shared" si="14"/>
        <v>1487</v>
      </c>
      <c r="U51" s="33">
        <f t="shared" si="14"/>
        <v>1487</v>
      </c>
      <c r="V51" s="33">
        <f t="shared" si="14"/>
        <v>1487</v>
      </c>
      <c r="W51" s="33">
        <f t="shared" si="14"/>
        <v>1487</v>
      </c>
      <c r="X51" s="33">
        <f t="shared" si="14"/>
        <v>1487</v>
      </c>
      <c r="Y51" s="33">
        <f t="shared" si="14"/>
        <v>1487</v>
      </c>
      <c r="Z51" s="33">
        <f t="shared" si="14"/>
        <v>1487</v>
      </c>
      <c r="AA51" s="33">
        <f t="shared" si="14"/>
        <v>1487</v>
      </c>
    </row>
    <row r="52" spans="1:27" s="62" customFormat="1" hidden="1" x14ac:dyDescent="0.25">
      <c r="A52" s="59" t="s">
        <v>168</v>
      </c>
      <c r="B52" s="60">
        <f t="shared" si="15"/>
        <v>0</v>
      </c>
      <c r="C52" s="60">
        <f t="shared" si="16"/>
        <v>0</v>
      </c>
      <c r="D52" s="60">
        <f t="shared" si="17"/>
        <v>0</v>
      </c>
      <c r="E52" s="60">
        <f t="shared" si="18"/>
        <v>0</v>
      </c>
      <c r="F52" s="60">
        <f t="shared" si="19"/>
        <v>0</v>
      </c>
      <c r="G52" s="60">
        <f t="shared" si="20"/>
        <v>0</v>
      </c>
      <c r="H52" s="60">
        <f t="shared" si="21"/>
        <v>0</v>
      </c>
      <c r="I52" s="60">
        <f t="shared" si="22"/>
        <v>0</v>
      </c>
      <c r="J52" s="60">
        <f t="shared" si="23"/>
        <v>0</v>
      </c>
      <c r="K52" s="60">
        <f t="shared" si="24"/>
        <v>0</v>
      </c>
      <c r="L52" s="60">
        <f t="shared" si="25"/>
        <v>0</v>
      </c>
      <c r="Q52" s="33">
        <f t="shared" si="26"/>
        <v>1488</v>
      </c>
      <c r="R52" s="33">
        <f t="shared" si="14"/>
        <v>1488</v>
      </c>
      <c r="S52" s="33">
        <f t="shared" si="14"/>
        <v>1488</v>
      </c>
      <c r="T52" s="33">
        <f t="shared" si="14"/>
        <v>1488</v>
      </c>
      <c r="U52" s="33">
        <f t="shared" si="14"/>
        <v>1488</v>
      </c>
      <c r="V52" s="33">
        <f t="shared" si="14"/>
        <v>1488</v>
      </c>
      <c r="W52" s="33">
        <f t="shared" si="14"/>
        <v>1488</v>
      </c>
      <c r="X52" s="33">
        <f t="shared" si="14"/>
        <v>1488</v>
      </c>
      <c r="Y52" s="33">
        <f t="shared" si="14"/>
        <v>1488</v>
      </c>
      <c r="Z52" s="33">
        <f t="shared" si="14"/>
        <v>1488</v>
      </c>
      <c r="AA52" s="33">
        <f t="shared" si="14"/>
        <v>1488</v>
      </c>
    </row>
    <row r="53" spans="1:27" s="62" customFormat="1" hidden="1" x14ac:dyDescent="0.25">
      <c r="A53" s="59" t="s">
        <v>169</v>
      </c>
      <c r="B53" s="60">
        <f t="shared" si="15"/>
        <v>0</v>
      </c>
      <c r="C53" s="60">
        <f t="shared" si="16"/>
        <v>0</v>
      </c>
      <c r="D53" s="60">
        <f t="shared" si="17"/>
        <v>0</v>
      </c>
      <c r="E53" s="60">
        <f t="shared" si="18"/>
        <v>0</v>
      </c>
      <c r="F53" s="60">
        <f t="shared" si="19"/>
        <v>0</v>
      </c>
      <c r="G53" s="60">
        <f t="shared" si="20"/>
        <v>0</v>
      </c>
      <c r="H53" s="60">
        <f t="shared" si="21"/>
        <v>0</v>
      </c>
      <c r="I53" s="60">
        <f t="shared" si="22"/>
        <v>0</v>
      </c>
      <c r="J53" s="60">
        <f t="shared" si="23"/>
        <v>0</v>
      </c>
      <c r="K53" s="60">
        <f t="shared" si="24"/>
        <v>0</v>
      </c>
      <c r="L53" s="60">
        <f t="shared" si="25"/>
        <v>0</v>
      </c>
      <c r="Q53" s="33">
        <f t="shared" si="26"/>
        <v>1489</v>
      </c>
      <c r="R53" s="33">
        <f t="shared" si="14"/>
        <v>1489</v>
      </c>
      <c r="S53" s="33">
        <f t="shared" si="14"/>
        <v>1489</v>
      </c>
      <c r="T53" s="33">
        <f t="shared" si="14"/>
        <v>1489</v>
      </c>
      <c r="U53" s="33">
        <f t="shared" si="14"/>
        <v>1489</v>
      </c>
      <c r="V53" s="33">
        <f t="shared" si="14"/>
        <v>1489</v>
      </c>
      <c r="W53" s="33">
        <f t="shared" si="14"/>
        <v>1489</v>
      </c>
      <c r="X53" s="33">
        <f t="shared" si="14"/>
        <v>1489</v>
      </c>
      <c r="Y53" s="33">
        <f t="shared" si="14"/>
        <v>1489</v>
      </c>
      <c r="Z53" s="33">
        <f t="shared" si="14"/>
        <v>1489</v>
      </c>
      <c r="AA53" s="33">
        <f t="shared" si="14"/>
        <v>1489</v>
      </c>
    </row>
    <row r="54" spans="1:27" s="62" customFormat="1" hidden="1" x14ac:dyDescent="0.25">
      <c r="A54" s="59" t="s">
        <v>170</v>
      </c>
      <c r="B54" s="60">
        <f t="shared" si="15"/>
        <v>0</v>
      </c>
      <c r="C54" s="60">
        <f t="shared" si="16"/>
        <v>0</v>
      </c>
      <c r="D54" s="60">
        <f t="shared" si="17"/>
        <v>0</v>
      </c>
      <c r="E54" s="60">
        <f t="shared" si="18"/>
        <v>0</v>
      </c>
      <c r="F54" s="60">
        <f t="shared" si="19"/>
        <v>0</v>
      </c>
      <c r="G54" s="60">
        <f t="shared" si="20"/>
        <v>0</v>
      </c>
      <c r="H54" s="60">
        <f t="shared" si="21"/>
        <v>0</v>
      </c>
      <c r="I54" s="60">
        <f t="shared" si="22"/>
        <v>0</v>
      </c>
      <c r="J54" s="60">
        <f t="shared" si="23"/>
        <v>0</v>
      </c>
      <c r="K54" s="60">
        <f t="shared" si="24"/>
        <v>0</v>
      </c>
      <c r="L54" s="60">
        <f t="shared" si="25"/>
        <v>0</v>
      </c>
      <c r="Q54" s="33">
        <f t="shared" si="26"/>
        <v>1490</v>
      </c>
      <c r="R54" s="33">
        <f t="shared" si="14"/>
        <v>1490</v>
      </c>
      <c r="S54" s="33">
        <f t="shared" si="14"/>
        <v>1490</v>
      </c>
      <c r="T54" s="33">
        <f t="shared" si="14"/>
        <v>1490</v>
      </c>
      <c r="U54" s="33">
        <f t="shared" si="14"/>
        <v>1490</v>
      </c>
      <c r="V54" s="33">
        <f t="shared" si="14"/>
        <v>1490</v>
      </c>
      <c r="W54" s="33">
        <f t="shared" si="14"/>
        <v>1490</v>
      </c>
      <c r="X54" s="33">
        <f t="shared" si="14"/>
        <v>1490</v>
      </c>
      <c r="Y54" s="33">
        <f t="shared" si="14"/>
        <v>1490</v>
      </c>
      <c r="Z54" s="33">
        <f t="shared" si="14"/>
        <v>1490</v>
      </c>
      <c r="AA54" s="33">
        <f t="shared" si="14"/>
        <v>1490</v>
      </c>
    </row>
    <row r="55" spans="1:27" s="62" customFormat="1" x14ac:dyDescent="0.25"/>
    <row r="56" spans="1:27" ht="18" customHeight="1" x14ac:dyDescent="0.25">
      <c r="A56" s="353" t="s">
        <v>172</v>
      </c>
      <c r="B56" s="354"/>
      <c r="C56" s="354"/>
      <c r="D56" s="354"/>
      <c r="E56" s="354"/>
      <c r="F56" s="354"/>
      <c r="G56" s="354"/>
      <c r="H56" s="354"/>
      <c r="I56" s="354"/>
      <c r="J56" s="354"/>
      <c r="K56" s="353">
        <f>MAX(SUM(B30:L41)+SUM(B43:L54),0)</f>
        <v>0</v>
      </c>
      <c r="L56" s="354"/>
      <c r="M56" s="63"/>
    </row>
    <row r="57" spans="1:27" x14ac:dyDescent="0.25">
      <c r="A57" s="349" t="str">
        <f>Copyright</f>
        <v>© 1997-2024, Nithyanand Yeswanth (taxcalc@ynithya.com)</v>
      </c>
      <c r="B57" s="350"/>
      <c r="C57" s="350"/>
      <c r="D57" s="350"/>
      <c r="E57" s="350"/>
      <c r="F57" s="350"/>
      <c r="G57" s="350"/>
      <c r="H57" s="350"/>
      <c r="I57" s="350"/>
      <c r="J57" s="350"/>
      <c r="K57" s="350"/>
      <c r="L57" s="351"/>
      <c r="M57" s="64"/>
    </row>
    <row r="58" spans="1:27" ht="3.95" customHeight="1" x14ac:dyDescent="0.25">
      <c r="A58" s="65"/>
      <c r="B58" s="65"/>
      <c r="C58" s="65"/>
      <c r="D58" s="65"/>
      <c r="E58" s="65"/>
      <c r="F58" s="65"/>
      <c r="G58" s="65"/>
      <c r="H58" s="65"/>
      <c r="I58" s="65"/>
      <c r="J58" s="65"/>
      <c r="K58" s="65"/>
      <c r="L58" s="66"/>
      <c r="M58" s="64"/>
    </row>
    <row r="59" spans="1:27" x14ac:dyDescent="0.25">
      <c r="A59" s="67" t="s">
        <v>173</v>
      </c>
    </row>
    <row r="60" spans="1:27" x14ac:dyDescent="0.25">
      <c r="A60" s="143" t="s">
        <v>576</v>
      </c>
    </row>
    <row r="61" spans="1:27" x14ac:dyDescent="0.25">
      <c r="A61" s="143" t="s">
        <v>577</v>
      </c>
    </row>
    <row r="62" spans="1:27" x14ac:dyDescent="0.25">
      <c r="A62" s="143" t="s">
        <v>578</v>
      </c>
    </row>
    <row r="63" spans="1:27" x14ac:dyDescent="0.25">
      <c r="A63" s="143" t="s">
        <v>579</v>
      </c>
    </row>
    <row r="64" spans="1:27" x14ac:dyDescent="0.25">
      <c r="A64" s="68" t="s">
        <v>217</v>
      </c>
    </row>
    <row r="65" spans="1:1" x14ac:dyDescent="0.25">
      <c r="A65" s="143" t="s">
        <v>265</v>
      </c>
    </row>
    <row r="66" spans="1:1" x14ac:dyDescent="0.25">
      <c r="A66" s="143" t="s">
        <v>580</v>
      </c>
    </row>
    <row r="67" spans="1:1" x14ac:dyDescent="0.25">
      <c r="A67" s="68"/>
    </row>
    <row r="68" spans="1:1" hidden="1" x14ac:dyDescent="0.25">
      <c r="A68" s="68"/>
    </row>
    <row r="69" spans="1:1" hidden="1" x14ac:dyDescent="0.25">
      <c r="A69" s="33"/>
    </row>
    <row r="70" spans="1:1" hidden="1" x14ac:dyDescent="0.25">
      <c r="A70" s="33"/>
    </row>
    <row r="71" spans="1:1" hidden="1" x14ac:dyDescent="0.25">
      <c r="A71" s="33"/>
    </row>
  </sheetData>
  <sheetProtection algorithmName="SHA-512" hashValue="sI7Cr+8BNqDA4xPJenIt0P89cMypaKkVHR+BqCTL9KyXDVIWrWxo5VNjZQP0phjZcYMaWk+NbiQDXaGKaTs/Dg==" saltValue="1+jrZStPeUWdk51TYYbaCg==" spinCount="100000" sheet="1" scenarios="1"/>
  <mergeCells count="9">
    <mergeCell ref="A57:L57"/>
    <mergeCell ref="A1:L1"/>
    <mergeCell ref="K56:L56"/>
    <mergeCell ref="A2:L2"/>
    <mergeCell ref="A6:L6"/>
    <mergeCell ref="A56:J56"/>
    <mergeCell ref="A3:L3"/>
    <mergeCell ref="A4:L4"/>
    <mergeCell ref="A5:L5"/>
  </mergeCells>
  <phoneticPr fontId="19" type="noConversion"/>
  <conditionalFormatting sqref="B26">
    <cfRule type="cellIs" dxfId="12" priority="1" stopIfTrue="1" operator="equal">
      <formula>"Housing Loan"</formula>
    </cfRule>
  </conditionalFormatting>
  <conditionalFormatting sqref="C26">
    <cfRule type="cellIs" dxfId="11" priority="2" stopIfTrue="1" operator="equal">
      <formula>"Vehicle Loan"</formula>
    </cfRule>
  </conditionalFormatting>
  <conditionalFormatting sqref="A1:M1">
    <cfRule type="cellIs" dxfId="10" priority="3" stopIfTrue="1" operator="equal">
      <formula>"PLEASE ENTER YOUR NAME HERE"</formula>
    </cfRule>
  </conditionalFormatting>
  <dataValidations count="5">
    <dataValidation type="decimal" operator="greaterThanOrEqual" allowBlank="1" showInputMessage="1" showErrorMessage="1" errorTitle="Invalid Input!" error="Please enter the percentage. Note that it cannot be negative!" sqref="B26:L26 B14:L14 B23:L23" xr:uid="{00000000-0002-0000-0200-000000000000}">
      <formula1>0</formula1>
    </dataValidation>
    <dataValidation type="whole" allowBlank="1" showErrorMessage="1" errorTitle="Invalid Input!" error="Please enter a positive number for loan amount!" sqref="B17:L17 B8:L8" xr:uid="{00000000-0002-0000-0200-000001000000}">
      <formula1>0</formula1>
      <formula2>9999999</formula2>
    </dataValidation>
    <dataValidation type="whole" allowBlank="1" showErrorMessage="1" errorTitle="Invalid Input" error="Please enter a positive number!" sqref="B22:L22 B13:L13" xr:uid="{00000000-0002-0000-0200-000002000000}">
      <formula1>0</formula1>
      <formula2>360</formula2>
    </dataValidation>
    <dataValidation type="date" operator="lessThan" allowBlank="1" showInputMessage="1" showErrorMessage="1" errorTitle="Invalid Month!" error="The loan should have been taken before the end of the current financial year!" sqref="B18:L18 B9:L9" xr:uid="{00000000-0002-0000-0200-000003000000}">
      <formula1>$P$9</formula1>
    </dataValidation>
    <dataValidation type="date" allowBlank="1" showInputMessage="1" showErrorMessage="1" errorTitle="Invalid Month!" error="Please enter a month which is in the current financial year and that is after the month in which loan was taken!" sqref="B10:L10 B19:L19" xr:uid="{00000000-0002-0000-0200-000004000000}">
      <formula1>MAX(B9,$P$8)</formula1>
      <formula2>$P$9</formula2>
    </dataValidation>
  </dataValidations>
  <printOptions horizontalCentered="1"/>
  <pageMargins left="0.75" right="0.75" top="1" bottom="1" header="0.5" footer="0.5"/>
  <pageSetup paperSize="9" fitToHeight="0" orientation="landscape" r:id="rId1"/>
  <headerFooter>
    <oddHeader>&amp;L&amp;"Verdana,Bold"&amp;D&amp;C&amp;"Verdana,Bold"Perquisites Valuation for Income Tax Projections&amp;R&amp;"Verdana,Bold"Page &amp;P of &amp;N</oddHeader>
    <oddFooter>&amp;L&amp;"Tahoma,Regular"Free Download from http://taxcalc.ynithya.com/&amp;C&amp;"Tahoma,Regular"(Version 26.1)&amp;R&amp;"Tahoma,Regular"© 1997-2024, Nithyanand Yeswanth (taxcalc@ynithya.com)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8"/>
  </sheetPr>
  <dimension ref="A1:S106"/>
  <sheetViews>
    <sheetView showGridLines="0" topLeftCell="A16" zoomScaleNormal="100" workbookViewId="0">
      <pane ySplit="7" topLeftCell="A23" activePane="bottomLeft" state="frozen"/>
      <selection activeCell="A16" sqref="A16"/>
      <selection pane="bottomLeft" activeCell="A23" sqref="A23"/>
    </sheetView>
  </sheetViews>
  <sheetFormatPr defaultColWidth="0" defaultRowHeight="12.75" zeroHeight="1" x14ac:dyDescent="0.25"/>
  <cols>
    <col min="1" max="4" width="21.83203125" style="72" customWidth="1"/>
    <col min="5" max="5" width="0.33203125" style="72" customWidth="1"/>
    <col min="6" max="19" width="19.33203125" style="72" hidden="1" customWidth="1"/>
    <col min="20" max="16384" width="10.6640625" style="72" hidden="1"/>
  </cols>
  <sheetData>
    <row r="1" spans="1:16" ht="12.75" hidden="1" customHeight="1" x14ac:dyDescent="0.25">
      <c r="A1" s="263" t="s">
        <v>177</v>
      </c>
      <c r="B1" s="69"/>
      <c r="C1" s="69"/>
      <c r="D1" s="69"/>
      <c r="E1" s="70"/>
      <c r="F1" s="69"/>
      <c r="G1" s="69"/>
      <c r="H1" s="71"/>
      <c r="I1" s="155"/>
      <c r="J1" s="155"/>
    </row>
    <row r="2" spans="1:16" ht="13.5" hidden="1" customHeight="1" x14ac:dyDescent="0.25">
      <c r="A2" s="70"/>
      <c r="B2" s="70"/>
      <c r="C2" s="70"/>
      <c r="D2" s="70"/>
      <c r="E2" s="70"/>
      <c r="F2" s="70"/>
      <c r="G2" s="70"/>
      <c r="H2" s="70"/>
      <c r="I2" s="156"/>
      <c r="J2" s="156"/>
    </row>
    <row r="3" spans="1:16" s="75" customFormat="1" ht="12.75" hidden="1" customHeight="1" x14ac:dyDescent="0.25">
      <c r="A3" s="73" t="s">
        <v>178</v>
      </c>
      <c r="B3" s="73">
        <v>43374</v>
      </c>
      <c r="C3" s="73">
        <v>43647</v>
      </c>
      <c r="D3" s="73">
        <v>43922</v>
      </c>
      <c r="E3" s="74"/>
      <c r="F3" s="73">
        <v>44927</v>
      </c>
      <c r="G3" s="73"/>
      <c r="H3" s="73"/>
      <c r="I3" s="73"/>
      <c r="J3" s="73"/>
      <c r="K3" s="73"/>
      <c r="L3" s="73"/>
      <c r="M3" s="73"/>
      <c r="N3" s="73"/>
    </row>
    <row r="4" spans="1:16" s="75" customFormat="1" ht="12.75" hidden="1" customHeight="1" x14ac:dyDescent="0.25">
      <c r="A4" s="73" t="s">
        <v>179</v>
      </c>
      <c r="B4" s="73">
        <v>43646</v>
      </c>
      <c r="C4" s="73">
        <v>43921</v>
      </c>
      <c r="D4" s="73">
        <v>44926</v>
      </c>
      <c r="E4" s="74"/>
      <c r="F4" s="73">
        <v>49674</v>
      </c>
      <c r="G4" s="73"/>
      <c r="H4" s="73"/>
      <c r="I4" s="73"/>
      <c r="J4" s="73"/>
      <c r="K4" s="73"/>
      <c r="L4" s="73"/>
      <c r="M4" s="73"/>
      <c r="N4" s="73"/>
    </row>
    <row r="5" spans="1:16" ht="12.75" hidden="1" customHeight="1" x14ac:dyDescent="0.25">
      <c r="A5" s="76" t="s">
        <v>180</v>
      </c>
      <c r="B5" s="77">
        <v>0.08</v>
      </c>
      <c r="C5" s="77">
        <v>7.9000000000000001E-2</v>
      </c>
      <c r="D5" s="77">
        <v>6.8000000000000005E-2</v>
      </c>
      <c r="E5" s="78"/>
      <c r="F5" s="77">
        <v>7.0000000000000007E-2</v>
      </c>
      <c r="G5" s="77"/>
      <c r="H5" s="77"/>
      <c r="I5" s="77"/>
      <c r="J5" s="77"/>
      <c r="K5" s="77"/>
      <c r="L5" s="77"/>
      <c r="M5" s="77"/>
      <c r="N5" s="77"/>
    </row>
    <row r="6" spans="1:16" ht="12.75" hidden="1" customHeight="1" x14ac:dyDescent="0.25">
      <c r="A6" s="76" t="s">
        <v>191</v>
      </c>
      <c r="B6" s="79">
        <v>8</v>
      </c>
      <c r="C6" s="79">
        <v>7.9</v>
      </c>
      <c r="D6" s="79">
        <v>6.8</v>
      </c>
      <c r="E6" s="80"/>
      <c r="F6" s="79">
        <v>7</v>
      </c>
      <c r="G6" s="79"/>
      <c r="H6" s="79"/>
      <c r="I6" s="79"/>
      <c r="J6" s="79"/>
      <c r="K6" s="79"/>
      <c r="L6" s="79"/>
      <c r="M6" s="79"/>
      <c r="N6" s="79"/>
    </row>
    <row r="7" spans="1:16" ht="12.75" hidden="1" customHeight="1" x14ac:dyDescent="0.25">
      <c r="A7" s="76" t="s">
        <v>192</v>
      </c>
      <c r="B7" s="79">
        <v>8.64</v>
      </c>
      <c r="C7" s="79">
        <v>8.52</v>
      </c>
      <c r="D7" s="79">
        <v>7.26</v>
      </c>
      <c r="E7" s="80"/>
      <c r="F7" s="79">
        <v>7.49</v>
      </c>
      <c r="G7" s="79"/>
      <c r="H7" s="79"/>
      <c r="I7" s="79"/>
      <c r="J7" s="79"/>
      <c r="K7" s="79"/>
      <c r="L7" s="79"/>
      <c r="M7" s="79"/>
      <c r="N7" s="79"/>
    </row>
    <row r="8" spans="1:16" ht="12.75" hidden="1" customHeight="1" x14ac:dyDescent="0.25">
      <c r="A8" s="76" t="s">
        <v>193</v>
      </c>
      <c r="B8" s="79">
        <v>9.33</v>
      </c>
      <c r="C8" s="79">
        <v>9.1999999999999993</v>
      </c>
      <c r="D8" s="79">
        <v>7.76</v>
      </c>
      <c r="E8" s="80"/>
      <c r="F8" s="79">
        <v>8.01</v>
      </c>
      <c r="G8" s="79"/>
      <c r="H8" s="79"/>
      <c r="I8" s="79"/>
      <c r="J8" s="79"/>
      <c r="K8" s="79"/>
      <c r="L8" s="79"/>
      <c r="M8" s="79"/>
      <c r="N8" s="79"/>
    </row>
    <row r="9" spans="1:16" ht="12.75" hidden="1" customHeight="1" x14ac:dyDescent="0.25">
      <c r="A9" s="76" t="s">
        <v>194</v>
      </c>
      <c r="B9" s="79">
        <v>10.08</v>
      </c>
      <c r="C9" s="79">
        <v>9.92</v>
      </c>
      <c r="D9" s="79">
        <v>8.2799999999999994</v>
      </c>
      <c r="E9" s="80"/>
      <c r="F9" s="79">
        <v>8.58</v>
      </c>
      <c r="G9" s="79"/>
      <c r="H9" s="79"/>
      <c r="I9" s="79"/>
      <c r="J9" s="79"/>
      <c r="K9" s="79"/>
      <c r="L9" s="79"/>
      <c r="M9" s="79"/>
      <c r="N9" s="79"/>
    </row>
    <row r="10" spans="1:16" ht="12.75" hidden="1" customHeight="1" x14ac:dyDescent="0.25">
      <c r="A10" s="76" t="s">
        <v>195</v>
      </c>
      <c r="B10" s="79">
        <v>10.88</v>
      </c>
      <c r="C10" s="79">
        <v>10.71</v>
      </c>
      <c r="D10" s="79">
        <v>8.85</v>
      </c>
      <c r="E10" s="80"/>
      <c r="F10" s="79">
        <v>9.18</v>
      </c>
      <c r="G10" s="79"/>
      <c r="H10" s="79"/>
      <c r="I10" s="79"/>
      <c r="J10" s="79"/>
      <c r="K10" s="79"/>
      <c r="L10" s="79"/>
      <c r="M10" s="79"/>
      <c r="N10" s="79"/>
    </row>
    <row r="11" spans="1:16" ht="12.75" hidden="1" customHeight="1" x14ac:dyDescent="0.25">
      <c r="A11" s="76" t="s">
        <v>181</v>
      </c>
      <c r="B11" s="79">
        <v>46.93</v>
      </c>
      <c r="C11" s="79">
        <v>46.25</v>
      </c>
      <c r="D11" s="79">
        <v>38.950000000000003</v>
      </c>
      <c r="E11" s="80"/>
      <c r="F11" s="79">
        <v>40.26</v>
      </c>
      <c r="G11" s="79"/>
      <c r="H11" s="79"/>
      <c r="I11" s="79"/>
      <c r="J11" s="79"/>
      <c r="K11" s="79"/>
      <c r="L11" s="79"/>
      <c r="M11" s="79"/>
      <c r="N11" s="79"/>
    </row>
    <row r="12" spans="1:16" ht="12.75" hidden="1" customHeight="1" x14ac:dyDescent="0.25">
      <c r="A12" s="76" t="s">
        <v>182</v>
      </c>
      <c r="B12" s="79">
        <v>146.93</v>
      </c>
      <c r="C12" s="79">
        <v>146.25</v>
      </c>
      <c r="D12" s="79">
        <v>138.94999999999999</v>
      </c>
      <c r="E12" s="80"/>
      <c r="F12" s="79">
        <v>140.26</v>
      </c>
      <c r="G12" s="79"/>
      <c r="H12" s="79"/>
      <c r="I12" s="79"/>
      <c r="J12" s="79"/>
      <c r="K12" s="79"/>
      <c r="L12" s="79"/>
      <c r="M12" s="79"/>
      <c r="N12" s="79"/>
    </row>
    <row r="13" spans="1:16" ht="12.75" hidden="1" customHeight="1" x14ac:dyDescent="0.25">
      <c r="B13" s="81" t="s">
        <v>183</v>
      </c>
      <c r="C13" s="82">
        <f>Perquisites!P8</f>
        <v>45017</v>
      </c>
      <c r="D13" s="83">
        <f>DATE(YEAR(C13)-4,MONTH(C13),DAY(C13))</f>
        <v>43556</v>
      </c>
      <c r="E13" s="83"/>
      <c r="F13" s="83">
        <f>C13-1</f>
        <v>45016</v>
      </c>
      <c r="I13" s="147"/>
      <c r="J13" s="147"/>
    </row>
    <row r="14" spans="1:16" ht="12.75" hidden="1" customHeight="1" x14ac:dyDescent="0.25">
      <c r="B14" s="84"/>
      <c r="C14" s="75"/>
      <c r="D14" s="75"/>
      <c r="E14" s="75"/>
      <c r="I14" s="147"/>
      <c r="J14" s="147"/>
    </row>
    <row r="15" spans="1:16" s="85" customFormat="1" ht="12.75" hidden="1" customHeight="1" x14ac:dyDescent="0.25">
      <c r="B15" s="86"/>
      <c r="C15" s="87"/>
      <c r="D15" s="87"/>
      <c r="E15" s="87"/>
    </row>
    <row r="16" spans="1:16" s="33" customFormat="1" ht="30" customHeight="1" x14ac:dyDescent="0.25">
      <c r="A16" s="371" t="str">
        <f>Instructions!B7</f>
        <v>PLEASE ENTER YOUR NAME HERE</v>
      </c>
      <c r="B16" s="371"/>
      <c r="C16" s="371"/>
      <c r="D16" s="371"/>
      <c r="E16" s="88"/>
      <c r="F16" s="89"/>
      <c r="G16" s="89"/>
      <c r="H16" s="89"/>
      <c r="I16" s="89"/>
      <c r="J16" s="89"/>
      <c r="K16" s="89"/>
      <c r="L16" s="89"/>
      <c r="M16" s="89"/>
      <c r="N16" s="89"/>
      <c r="O16" s="89"/>
      <c r="P16" s="32"/>
    </row>
    <row r="17" spans="1:10" ht="18" customHeight="1" x14ac:dyDescent="0.25">
      <c r="A17" s="368" t="s">
        <v>177</v>
      </c>
      <c r="B17" s="369"/>
      <c r="C17" s="369"/>
      <c r="D17" s="370"/>
      <c r="E17" s="90"/>
    </row>
    <row r="18" spans="1:10" x14ac:dyDescent="0.25">
      <c r="B18" s="84"/>
      <c r="C18" s="75"/>
      <c r="D18" s="75"/>
      <c r="E18" s="75"/>
    </row>
    <row r="19" spans="1:10" hidden="1" x14ac:dyDescent="0.25">
      <c r="A19" s="376" t="s">
        <v>538</v>
      </c>
      <c r="B19" s="377"/>
      <c r="C19" s="377"/>
      <c r="D19" s="378"/>
      <c r="E19" s="75"/>
    </row>
    <row r="20" spans="1:10" hidden="1" x14ac:dyDescent="0.25">
      <c r="A20" s="379" t="s">
        <v>535</v>
      </c>
      <c r="B20" s="380"/>
      <c r="C20" s="380"/>
      <c r="D20" s="381"/>
      <c r="E20" s="75"/>
    </row>
    <row r="21" spans="1:10" x14ac:dyDescent="0.25">
      <c r="B21" s="84"/>
      <c r="C21" s="75"/>
      <c r="D21" s="75"/>
      <c r="E21" s="75"/>
    </row>
    <row r="22" spans="1:10" x14ac:dyDescent="0.25">
      <c r="A22" s="219" t="s">
        <v>184</v>
      </c>
      <c r="B22" s="220" t="s">
        <v>185</v>
      </c>
      <c r="C22" s="217" t="s">
        <v>186</v>
      </c>
      <c r="D22" s="217" t="s">
        <v>187</v>
      </c>
      <c r="E22" s="91"/>
    </row>
    <row r="23" spans="1:10" x14ac:dyDescent="0.25">
      <c r="A23" s="92"/>
      <c r="B23" s="93"/>
      <c r="C23" s="94">
        <v>0</v>
      </c>
      <c r="D23" s="218">
        <f t="shared" ref="D23:D54" si="0">IF(G23&gt;0,HLOOKUP(B23,$B$3:$K$12,3+G23,TRUE)*C23/100,0)</f>
        <v>0</v>
      </c>
      <c r="E23" s="95"/>
      <c r="G23" s="72">
        <f>IF(AND(B23&gt;=$D$13,B23&lt;$C$13),CEILING(DAYS360(B23,$C$13)/360,1),0)</f>
        <v>0</v>
      </c>
      <c r="H23" s="96"/>
      <c r="I23" s="96"/>
      <c r="J23" s="96"/>
    </row>
    <row r="24" spans="1:10" x14ac:dyDescent="0.25">
      <c r="A24" s="92"/>
      <c r="B24" s="93"/>
      <c r="C24" s="94">
        <v>0</v>
      </c>
      <c r="D24" s="218">
        <f t="shared" si="0"/>
        <v>0</v>
      </c>
      <c r="E24" s="95"/>
      <c r="G24" s="72">
        <f t="shared" ref="G24:G71" si="1">IF(AND(B24&gt;=$D$13,B24&lt;$C$13),CEILING(DAYS360(B24,$C$13)/360,1),0)</f>
        <v>0</v>
      </c>
      <c r="H24" s="96"/>
      <c r="I24" s="96"/>
      <c r="J24" s="96"/>
    </row>
    <row r="25" spans="1:10" x14ac:dyDescent="0.25">
      <c r="A25" s="92"/>
      <c r="B25" s="93"/>
      <c r="C25" s="94">
        <v>0</v>
      </c>
      <c r="D25" s="218">
        <f t="shared" si="0"/>
        <v>0</v>
      </c>
      <c r="E25" s="95"/>
      <c r="G25" s="72">
        <f t="shared" si="1"/>
        <v>0</v>
      </c>
      <c r="H25" s="96"/>
      <c r="I25" s="96"/>
      <c r="J25" s="96"/>
    </row>
    <row r="26" spans="1:10" x14ac:dyDescent="0.25">
      <c r="A26" s="92"/>
      <c r="B26" s="93"/>
      <c r="C26" s="94">
        <v>0</v>
      </c>
      <c r="D26" s="218">
        <f t="shared" si="0"/>
        <v>0</v>
      </c>
      <c r="E26" s="95"/>
      <c r="G26" s="72">
        <f t="shared" si="1"/>
        <v>0</v>
      </c>
      <c r="H26" s="96"/>
      <c r="I26" s="96"/>
      <c r="J26" s="96"/>
    </row>
    <row r="27" spans="1:10" x14ac:dyDescent="0.25">
      <c r="A27" s="92"/>
      <c r="B27" s="93"/>
      <c r="C27" s="94">
        <v>0</v>
      </c>
      <c r="D27" s="218">
        <f t="shared" si="0"/>
        <v>0</v>
      </c>
      <c r="E27" s="95"/>
      <c r="G27" s="72">
        <f t="shared" si="1"/>
        <v>0</v>
      </c>
      <c r="H27" s="96"/>
      <c r="I27" s="96"/>
      <c r="J27" s="96"/>
    </row>
    <row r="28" spans="1:10" x14ac:dyDescent="0.25">
      <c r="A28" s="92"/>
      <c r="B28" s="93"/>
      <c r="C28" s="94">
        <v>0</v>
      </c>
      <c r="D28" s="218">
        <f t="shared" si="0"/>
        <v>0</v>
      </c>
      <c r="E28" s="95"/>
      <c r="G28" s="72">
        <f t="shared" si="1"/>
        <v>0</v>
      </c>
      <c r="H28" s="96"/>
      <c r="I28" s="96"/>
      <c r="J28" s="96"/>
    </row>
    <row r="29" spans="1:10" x14ac:dyDescent="0.25">
      <c r="A29" s="92"/>
      <c r="B29" s="93"/>
      <c r="C29" s="94">
        <v>0</v>
      </c>
      <c r="D29" s="218">
        <f t="shared" si="0"/>
        <v>0</v>
      </c>
      <c r="E29" s="95"/>
      <c r="G29" s="72">
        <f t="shared" si="1"/>
        <v>0</v>
      </c>
      <c r="H29" s="96"/>
      <c r="I29" s="96"/>
      <c r="J29" s="96"/>
    </row>
    <row r="30" spans="1:10" x14ac:dyDescent="0.25">
      <c r="A30" s="92"/>
      <c r="B30" s="93"/>
      <c r="C30" s="94">
        <v>0</v>
      </c>
      <c r="D30" s="218">
        <f t="shared" si="0"/>
        <v>0</v>
      </c>
      <c r="E30" s="95"/>
      <c r="G30" s="72">
        <f t="shared" si="1"/>
        <v>0</v>
      </c>
      <c r="H30" s="96"/>
      <c r="I30" s="96"/>
      <c r="J30" s="96"/>
    </row>
    <row r="31" spans="1:10" x14ac:dyDescent="0.25">
      <c r="A31" s="92"/>
      <c r="B31" s="93"/>
      <c r="C31" s="94">
        <v>0</v>
      </c>
      <c r="D31" s="218">
        <f t="shared" si="0"/>
        <v>0</v>
      </c>
      <c r="E31" s="95"/>
      <c r="G31" s="72">
        <f t="shared" si="1"/>
        <v>0</v>
      </c>
      <c r="H31" s="96"/>
      <c r="I31" s="96"/>
      <c r="J31" s="96"/>
    </row>
    <row r="32" spans="1:10" x14ac:dyDescent="0.25">
      <c r="A32" s="92"/>
      <c r="B32" s="93"/>
      <c r="C32" s="94">
        <v>0</v>
      </c>
      <c r="D32" s="218">
        <f t="shared" si="0"/>
        <v>0</v>
      </c>
      <c r="E32" s="95"/>
      <c r="G32" s="72">
        <f t="shared" si="1"/>
        <v>0</v>
      </c>
      <c r="H32" s="96"/>
      <c r="I32" s="96"/>
      <c r="J32" s="96"/>
    </row>
    <row r="33" spans="1:10" x14ac:dyDescent="0.25">
      <c r="A33" s="92"/>
      <c r="B33" s="93"/>
      <c r="C33" s="94">
        <v>0</v>
      </c>
      <c r="D33" s="218">
        <f t="shared" si="0"/>
        <v>0</v>
      </c>
      <c r="E33" s="95"/>
      <c r="G33" s="72">
        <f t="shared" si="1"/>
        <v>0</v>
      </c>
      <c r="H33" s="96"/>
      <c r="I33" s="96"/>
      <c r="J33" s="96"/>
    </row>
    <row r="34" spans="1:10" x14ac:dyDescent="0.25">
      <c r="A34" s="92"/>
      <c r="B34" s="93"/>
      <c r="C34" s="94">
        <v>0</v>
      </c>
      <c r="D34" s="218">
        <f t="shared" si="0"/>
        <v>0</v>
      </c>
      <c r="E34" s="95"/>
      <c r="G34" s="72">
        <f t="shared" si="1"/>
        <v>0</v>
      </c>
      <c r="H34" s="96"/>
      <c r="I34" s="96"/>
      <c r="J34" s="96"/>
    </row>
    <row r="35" spans="1:10" x14ac:dyDescent="0.25">
      <c r="A35" s="92"/>
      <c r="B35" s="93"/>
      <c r="C35" s="94">
        <v>0</v>
      </c>
      <c r="D35" s="218">
        <f t="shared" si="0"/>
        <v>0</v>
      </c>
      <c r="E35" s="95"/>
      <c r="G35" s="72">
        <f t="shared" si="1"/>
        <v>0</v>
      </c>
      <c r="H35" s="96"/>
      <c r="I35" s="96"/>
      <c r="J35" s="96"/>
    </row>
    <row r="36" spans="1:10" x14ac:dyDescent="0.25">
      <c r="A36" s="92"/>
      <c r="B36" s="93"/>
      <c r="C36" s="94">
        <v>0</v>
      </c>
      <c r="D36" s="218">
        <f t="shared" si="0"/>
        <v>0</v>
      </c>
      <c r="E36" s="95"/>
      <c r="G36" s="72">
        <f t="shared" si="1"/>
        <v>0</v>
      </c>
      <c r="H36" s="96"/>
      <c r="I36" s="96"/>
      <c r="J36" s="96"/>
    </row>
    <row r="37" spans="1:10" x14ac:dyDescent="0.25">
      <c r="A37" s="92"/>
      <c r="B37" s="93"/>
      <c r="C37" s="94">
        <v>0</v>
      </c>
      <c r="D37" s="218">
        <f t="shared" si="0"/>
        <v>0</v>
      </c>
      <c r="E37" s="95"/>
      <c r="G37" s="72">
        <f t="shared" si="1"/>
        <v>0</v>
      </c>
      <c r="H37" s="96"/>
      <c r="I37" s="96"/>
      <c r="J37" s="96"/>
    </row>
    <row r="38" spans="1:10" x14ac:dyDescent="0.25">
      <c r="A38" s="92"/>
      <c r="B38" s="93"/>
      <c r="C38" s="94">
        <v>0</v>
      </c>
      <c r="D38" s="218">
        <f t="shared" si="0"/>
        <v>0</v>
      </c>
      <c r="E38" s="95"/>
      <c r="G38" s="72">
        <f t="shared" si="1"/>
        <v>0</v>
      </c>
      <c r="H38" s="96"/>
      <c r="I38" s="96"/>
      <c r="J38" s="96"/>
    </row>
    <row r="39" spans="1:10" x14ac:dyDescent="0.25">
      <c r="A39" s="92"/>
      <c r="B39" s="93"/>
      <c r="C39" s="94">
        <v>0</v>
      </c>
      <c r="D39" s="218">
        <f t="shared" si="0"/>
        <v>0</v>
      </c>
      <c r="E39" s="95"/>
      <c r="G39" s="72">
        <f t="shared" si="1"/>
        <v>0</v>
      </c>
      <c r="H39" s="96"/>
      <c r="I39" s="96"/>
      <c r="J39" s="96"/>
    </row>
    <row r="40" spans="1:10" x14ac:dyDescent="0.25">
      <c r="A40" s="92"/>
      <c r="B40" s="93"/>
      <c r="C40" s="94">
        <v>0</v>
      </c>
      <c r="D40" s="218">
        <f t="shared" si="0"/>
        <v>0</v>
      </c>
      <c r="E40" s="95"/>
      <c r="G40" s="72">
        <f t="shared" si="1"/>
        <v>0</v>
      </c>
      <c r="H40" s="96"/>
      <c r="I40" s="96"/>
      <c r="J40" s="96"/>
    </row>
    <row r="41" spans="1:10" x14ac:dyDescent="0.25">
      <c r="A41" s="92"/>
      <c r="B41" s="93"/>
      <c r="C41" s="94">
        <v>0</v>
      </c>
      <c r="D41" s="218">
        <f t="shared" si="0"/>
        <v>0</v>
      </c>
      <c r="E41" s="95"/>
      <c r="G41" s="72">
        <f t="shared" si="1"/>
        <v>0</v>
      </c>
      <c r="H41" s="96"/>
      <c r="I41" s="96"/>
      <c r="J41" s="96"/>
    </row>
    <row r="42" spans="1:10" x14ac:dyDescent="0.25">
      <c r="A42" s="92"/>
      <c r="B42" s="93"/>
      <c r="C42" s="94">
        <v>0</v>
      </c>
      <c r="D42" s="218">
        <f t="shared" si="0"/>
        <v>0</v>
      </c>
      <c r="E42" s="95"/>
      <c r="G42" s="72">
        <f t="shared" si="1"/>
        <v>0</v>
      </c>
      <c r="H42" s="96"/>
      <c r="I42" s="96"/>
      <c r="J42" s="96"/>
    </row>
    <row r="43" spans="1:10" x14ac:dyDescent="0.25">
      <c r="A43" s="92"/>
      <c r="B43" s="93"/>
      <c r="C43" s="94">
        <v>0</v>
      </c>
      <c r="D43" s="218">
        <f t="shared" si="0"/>
        <v>0</v>
      </c>
      <c r="E43" s="95"/>
      <c r="G43" s="72">
        <f t="shared" si="1"/>
        <v>0</v>
      </c>
      <c r="H43" s="96"/>
      <c r="I43" s="96"/>
      <c r="J43" s="96"/>
    </row>
    <row r="44" spans="1:10" x14ac:dyDescent="0.25">
      <c r="A44" s="92"/>
      <c r="B44" s="93"/>
      <c r="C44" s="94">
        <v>0</v>
      </c>
      <c r="D44" s="218">
        <f t="shared" si="0"/>
        <v>0</v>
      </c>
      <c r="E44" s="95"/>
      <c r="G44" s="72">
        <f t="shared" si="1"/>
        <v>0</v>
      </c>
      <c r="H44" s="96"/>
      <c r="I44" s="96"/>
      <c r="J44" s="96"/>
    </row>
    <row r="45" spans="1:10" x14ac:dyDescent="0.25">
      <c r="A45" s="92"/>
      <c r="B45" s="93"/>
      <c r="C45" s="94">
        <v>0</v>
      </c>
      <c r="D45" s="218">
        <f t="shared" si="0"/>
        <v>0</v>
      </c>
      <c r="E45" s="95"/>
      <c r="G45" s="72">
        <f t="shared" si="1"/>
        <v>0</v>
      </c>
      <c r="H45" s="96"/>
      <c r="I45" s="96"/>
      <c r="J45" s="96"/>
    </row>
    <row r="46" spans="1:10" x14ac:dyDescent="0.25">
      <c r="A46" s="92"/>
      <c r="B46" s="93"/>
      <c r="C46" s="94">
        <v>0</v>
      </c>
      <c r="D46" s="218">
        <f t="shared" si="0"/>
        <v>0</v>
      </c>
      <c r="E46" s="95"/>
      <c r="G46" s="72">
        <f t="shared" si="1"/>
        <v>0</v>
      </c>
      <c r="H46" s="96"/>
      <c r="I46" s="96"/>
      <c r="J46" s="96"/>
    </row>
    <row r="47" spans="1:10" x14ac:dyDescent="0.25">
      <c r="A47" s="92"/>
      <c r="B47" s="93"/>
      <c r="C47" s="94">
        <v>0</v>
      </c>
      <c r="D47" s="218">
        <f t="shared" si="0"/>
        <v>0</v>
      </c>
      <c r="E47" s="95"/>
      <c r="G47" s="72">
        <f t="shared" si="1"/>
        <v>0</v>
      </c>
      <c r="H47" s="96"/>
      <c r="I47" s="96"/>
      <c r="J47" s="96"/>
    </row>
    <row r="48" spans="1:10" x14ac:dyDescent="0.25">
      <c r="A48" s="92"/>
      <c r="B48" s="93"/>
      <c r="C48" s="94">
        <v>0</v>
      </c>
      <c r="D48" s="218">
        <f t="shared" si="0"/>
        <v>0</v>
      </c>
      <c r="E48" s="95"/>
      <c r="G48" s="72">
        <f t="shared" si="1"/>
        <v>0</v>
      </c>
      <c r="H48" s="96"/>
      <c r="I48" s="96"/>
      <c r="J48" s="96"/>
    </row>
    <row r="49" spans="1:10" x14ac:dyDescent="0.25">
      <c r="A49" s="92"/>
      <c r="B49" s="93"/>
      <c r="C49" s="94">
        <v>0</v>
      </c>
      <c r="D49" s="218">
        <f t="shared" si="0"/>
        <v>0</v>
      </c>
      <c r="E49" s="95"/>
      <c r="G49" s="72">
        <f t="shared" si="1"/>
        <v>0</v>
      </c>
      <c r="H49" s="96"/>
      <c r="I49" s="96"/>
      <c r="J49" s="96"/>
    </row>
    <row r="50" spans="1:10" x14ac:dyDescent="0.25">
      <c r="A50" s="92"/>
      <c r="B50" s="93"/>
      <c r="C50" s="94">
        <v>0</v>
      </c>
      <c r="D50" s="218">
        <f t="shared" si="0"/>
        <v>0</v>
      </c>
      <c r="E50" s="95"/>
      <c r="G50" s="72">
        <f t="shared" si="1"/>
        <v>0</v>
      </c>
      <c r="H50" s="96"/>
      <c r="I50" s="96"/>
      <c r="J50" s="96"/>
    </row>
    <row r="51" spans="1:10" x14ac:dyDescent="0.25">
      <c r="A51" s="92"/>
      <c r="B51" s="93"/>
      <c r="C51" s="94">
        <v>0</v>
      </c>
      <c r="D51" s="218">
        <f t="shared" si="0"/>
        <v>0</v>
      </c>
      <c r="E51" s="95"/>
      <c r="G51" s="72">
        <f t="shared" si="1"/>
        <v>0</v>
      </c>
      <c r="H51" s="96"/>
      <c r="I51" s="96"/>
      <c r="J51" s="96"/>
    </row>
    <row r="52" spans="1:10" x14ac:dyDescent="0.25">
      <c r="A52" s="92"/>
      <c r="B52" s="93"/>
      <c r="C52" s="94">
        <v>0</v>
      </c>
      <c r="D52" s="218">
        <f t="shared" si="0"/>
        <v>0</v>
      </c>
      <c r="E52" s="95"/>
      <c r="G52" s="72">
        <f t="shared" si="1"/>
        <v>0</v>
      </c>
      <c r="H52" s="96"/>
      <c r="I52" s="96"/>
      <c r="J52" s="96"/>
    </row>
    <row r="53" spans="1:10" x14ac:dyDescent="0.25">
      <c r="A53" s="92"/>
      <c r="B53" s="93"/>
      <c r="C53" s="94">
        <v>0</v>
      </c>
      <c r="D53" s="218">
        <f t="shared" si="0"/>
        <v>0</v>
      </c>
      <c r="E53" s="95"/>
      <c r="G53" s="72">
        <f t="shared" si="1"/>
        <v>0</v>
      </c>
      <c r="H53" s="96"/>
      <c r="I53" s="96"/>
      <c r="J53" s="96"/>
    </row>
    <row r="54" spans="1:10" x14ac:dyDescent="0.25">
      <c r="A54" s="92"/>
      <c r="B54" s="93"/>
      <c r="C54" s="94">
        <v>0</v>
      </c>
      <c r="D54" s="218">
        <f t="shared" si="0"/>
        <v>0</v>
      </c>
      <c r="E54" s="95"/>
      <c r="G54" s="72">
        <f t="shared" si="1"/>
        <v>0</v>
      </c>
      <c r="H54" s="96"/>
      <c r="I54" s="96"/>
      <c r="J54" s="96"/>
    </row>
    <row r="55" spans="1:10" x14ac:dyDescent="0.25">
      <c r="A55" s="92"/>
      <c r="B55" s="93"/>
      <c r="C55" s="94">
        <v>0</v>
      </c>
      <c r="D55" s="218">
        <f t="shared" ref="D55:D71" si="2">IF(G55&gt;0,HLOOKUP(B55,$B$3:$K$12,3+G55,TRUE)*C55/100,0)</f>
        <v>0</v>
      </c>
      <c r="E55" s="95"/>
      <c r="G55" s="72">
        <f t="shared" si="1"/>
        <v>0</v>
      </c>
      <c r="H55" s="96"/>
      <c r="I55" s="96"/>
      <c r="J55" s="96"/>
    </row>
    <row r="56" spans="1:10" x14ac:dyDescent="0.25">
      <c r="A56" s="92"/>
      <c r="B56" s="93"/>
      <c r="C56" s="94">
        <v>0</v>
      </c>
      <c r="D56" s="218">
        <f t="shared" si="2"/>
        <v>0</v>
      </c>
      <c r="E56" s="95"/>
      <c r="G56" s="72">
        <f t="shared" si="1"/>
        <v>0</v>
      </c>
      <c r="H56" s="96"/>
      <c r="I56" s="96"/>
      <c r="J56" s="96"/>
    </row>
    <row r="57" spans="1:10" x14ac:dyDescent="0.25">
      <c r="A57" s="92"/>
      <c r="B57" s="93"/>
      <c r="C57" s="94">
        <v>0</v>
      </c>
      <c r="D57" s="218">
        <f t="shared" si="2"/>
        <v>0</v>
      </c>
      <c r="E57" s="95"/>
      <c r="G57" s="72">
        <f t="shared" si="1"/>
        <v>0</v>
      </c>
      <c r="H57" s="96"/>
      <c r="I57" s="96"/>
      <c r="J57" s="96"/>
    </row>
    <row r="58" spans="1:10" x14ac:dyDescent="0.25">
      <c r="A58" s="92"/>
      <c r="B58" s="93"/>
      <c r="C58" s="94">
        <v>0</v>
      </c>
      <c r="D58" s="218">
        <f t="shared" si="2"/>
        <v>0</v>
      </c>
      <c r="E58" s="95"/>
      <c r="G58" s="72">
        <f t="shared" si="1"/>
        <v>0</v>
      </c>
      <c r="H58" s="96"/>
      <c r="I58" s="96"/>
      <c r="J58" s="96"/>
    </row>
    <row r="59" spans="1:10" x14ac:dyDescent="0.25">
      <c r="A59" s="92"/>
      <c r="B59" s="93"/>
      <c r="C59" s="94">
        <v>0</v>
      </c>
      <c r="D59" s="218">
        <f t="shared" si="2"/>
        <v>0</v>
      </c>
      <c r="E59" s="95"/>
      <c r="G59" s="72">
        <f t="shared" si="1"/>
        <v>0</v>
      </c>
      <c r="H59" s="96"/>
      <c r="I59" s="96"/>
      <c r="J59" s="96"/>
    </row>
    <row r="60" spans="1:10" x14ac:dyDescent="0.25">
      <c r="A60" s="92"/>
      <c r="B60" s="93"/>
      <c r="C60" s="94">
        <v>0</v>
      </c>
      <c r="D60" s="218">
        <f t="shared" si="2"/>
        <v>0</v>
      </c>
      <c r="E60" s="95"/>
      <c r="G60" s="72">
        <f t="shared" si="1"/>
        <v>0</v>
      </c>
      <c r="H60" s="96"/>
      <c r="I60" s="96"/>
      <c r="J60" s="96"/>
    </row>
    <row r="61" spans="1:10" x14ac:dyDescent="0.25">
      <c r="A61" s="92"/>
      <c r="B61" s="93"/>
      <c r="C61" s="94">
        <v>0</v>
      </c>
      <c r="D61" s="218">
        <f t="shared" si="2"/>
        <v>0</v>
      </c>
      <c r="E61" s="95"/>
      <c r="G61" s="72">
        <f t="shared" si="1"/>
        <v>0</v>
      </c>
      <c r="H61" s="96"/>
      <c r="I61" s="96"/>
      <c r="J61" s="96"/>
    </row>
    <row r="62" spans="1:10" x14ac:dyDescent="0.25">
      <c r="A62" s="92"/>
      <c r="B62" s="93"/>
      <c r="C62" s="94">
        <v>0</v>
      </c>
      <c r="D62" s="218">
        <f t="shared" si="2"/>
        <v>0</v>
      </c>
      <c r="E62" s="95"/>
      <c r="G62" s="72">
        <f t="shared" si="1"/>
        <v>0</v>
      </c>
      <c r="H62" s="96"/>
      <c r="I62" s="96"/>
      <c r="J62" s="96"/>
    </row>
    <row r="63" spans="1:10" x14ac:dyDescent="0.25">
      <c r="A63" s="92"/>
      <c r="B63" s="93"/>
      <c r="C63" s="94">
        <v>0</v>
      </c>
      <c r="D63" s="218">
        <f t="shared" si="2"/>
        <v>0</v>
      </c>
      <c r="E63" s="95"/>
      <c r="G63" s="72">
        <f t="shared" si="1"/>
        <v>0</v>
      </c>
      <c r="H63" s="96"/>
      <c r="I63" s="96"/>
      <c r="J63" s="96"/>
    </row>
    <row r="64" spans="1:10" x14ac:dyDescent="0.25">
      <c r="A64" s="92"/>
      <c r="B64" s="93"/>
      <c r="C64" s="94">
        <v>0</v>
      </c>
      <c r="D64" s="218">
        <f t="shared" si="2"/>
        <v>0</v>
      </c>
      <c r="E64" s="95"/>
      <c r="G64" s="72">
        <f t="shared" si="1"/>
        <v>0</v>
      </c>
      <c r="H64" s="96"/>
      <c r="I64" s="96"/>
      <c r="J64" s="96"/>
    </row>
    <row r="65" spans="1:14" x14ac:dyDescent="0.25">
      <c r="A65" s="92"/>
      <c r="B65" s="93"/>
      <c r="C65" s="94">
        <v>0</v>
      </c>
      <c r="D65" s="218">
        <f t="shared" si="2"/>
        <v>0</v>
      </c>
      <c r="E65" s="95"/>
      <c r="G65" s="72">
        <f t="shared" si="1"/>
        <v>0</v>
      </c>
      <c r="H65" s="96"/>
      <c r="I65" s="96"/>
      <c r="J65" s="96"/>
    </row>
    <row r="66" spans="1:14" x14ac:dyDescent="0.25">
      <c r="A66" s="92"/>
      <c r="B66" s="93"/>
      <c r="C66" s="94">
        <v>0</v>
      </c>
      <c r="D66" s="218">
        <f t="shared" si="2"/>
        <v>0</v>
      </c>
      <c r="E66" s="95"/>
      <c r="G66" s="72">
        <f t="shared" si="1"/>
        <v>0</v>
      </c>
    </row>
    <row r="67" spans="1:14" x14ac:dyDescent="0.25">
      <c r="A67" s="92"/>
      <c r="B67" s="93"/>
      <c r="C67" s="94">
        <v>0</v>
      </c>
      <c r="D67" s="218">
        <f t="shared" si="2"/>
        <v>0</v>
      </c>
      <c r="E67" s="95"/>
      <c r="G67" s="72">
        <f t="shared" si="1"/>
        <v>0</v>
      </c>
    </row>
    <row r="68" spans="1:14" x14ac:dyDescent="0.25">
      <c r="A68" s="92"/>
      <c r="B68" s="93"/>
      <c r="C68" s="94">
        <v>0</v>
      </c>
      <c r="D68" s="218">
        <f t="shared" si="2"/>
        <v>0</v>
      </c>
      <c r="E68" s="95"/>
      <c r="G68" s="72">
        <f t="shared" si="1"/>
        <v>0</v>
      </c>
    </row>
    <row r="69" spans="1:14" x14ac:dyDescent="0.25">
      <c r="A69" s="92"/>
      <c r="B69" s="93"/>
      <c r="C69" s="94">
        <v>0</v>
      </c>
      <c r="D69" s="218">
        <f t="shared" si="2"/>
        <v>0</v>
      </c>
      <c r="E69" s="95"/>
      <c r="G69" s="72">
        <f t="shared" si="1"/>
        <v>0</v>
      </c>
    </row>
    <row r="70" spans="1:14" x14ac:dyDescent="0.25">
      <c r="A70" s="92"/>
      <c r="B70" s="93"/>
      <c r="C70" s="94">
        <v>0</v>
      </c>
      <c r="D70" s="218">
        <f t="shared" si="2"/>
        <v>0</v>
      </c>
      <c r="E70" s="95"/>
      <c r="G70" s="72">
        <f t="shared" si="1"/>
        <v>0</v>
      </c>
    </row>
    <row r="71" spans="1:14" x14ac:dyDescent="0.25">
      <c r="A71" s="92"/>
      <c r="B71" s="93"/>
      <c r="C71" s="94">
        <v>0</v>
      </c>
      <c r="D71" s="218">
        <f t="shared" si="2"/>
        <v>0</v>
      </c>
      <c r="E71" s="95"/>
      <c r="G71" s="72">
        <f t="shared" si="1"/>
        <v>0</v>
      </c>
    </row>
    <row r="72" spans="1:14" x14ac:dyDescent="0.25"/>
    <row r="73" spans="1:14" ht="18" customHeight="1" x14ac:dyDescent="0.25">
      <c r="A73" s="373" t="s">
        <v>188</v>
      </c>
      <c r="B73" s="374"/>
      <c r="C73" s="375"/>
      <c r="D73" s="97">
        <f>SUM(D23:D71)</f>
        <v>0</v>
      </c>
      <c r="E73" s="75"/>
    </row>
    <row r="74" spans="1:14" x14ac:dyDescent="0.25">
      <c r="A74" s="349" t="str">
        <f>Copyright</f>
        <v>© 1997-2024, Nithyanand Yeswanth (taxcalc@ynithya.com)</v>
      </c>
      <c r="B74" s="372"/>
      <c r="C74" s="372"/>
      <c r="D74" s="372"/>
      <c r="E74" s="98"/>
      <c r="F74" s="98"/>
      <c r="G74" s="98"/>
      <c r="H74" s="98"/>
      <c r="I74" s="98"/>
      <c r="J74" s="98"/>
      <c r="K74" s="98"/>
      <c r="L74" s="98"/>
      <c r="M74" s="98"/>
      <c r="N74" s="99"/>
    </row>
    <row r="75" spans="1:14" x14ac:dyDescent="0.25">
      <c r="B75" s="84"/>
      <c r="C75" s="75"/>
      <c r="D75" s="75"/>
      <c r="E75" s="75"/>
    </row>
    <row r="76" spans="1:14" x14ac:dyDescent="0.25">
      <c r="A76" s="67" t="s">
        <v>173</v>
      </c>
    </row>
    <row r="77" spans="1:14" x14ac:dyDescent="0.25">
      <c r="A77" s="143" t="str">
        <f>CONCATENATE("1. Enter details of all NSCs purchased between 1-Apr-",YEAR(D13)," and 31-Mar-",YEAR(F13))</f>
        <v>1. Enter details of all NSCs purchased between 1-Apr-2019 and 31-Mar-2023</v>
      </c>
      <c r="B77" s="100"/>
      <c r="C77" s="101"/>
      <c r="F77" s="102"/>
    </row>
    <row r="78" spans="1:14" x14ac:dyDescent="0.25">
      <c r="A78" s="68" t="s">
        <v>189</v>
      </c>
      <c r="B78" s="100"/>
      <c r="C78" s="101"/>
      <c r="F78" s="102"/>
    </row>
    <row r="79" spans="1:14" x14ac:dyDescent="0.25">
      <c r="A79" s="68" t="s">
        <v>190</v>
      </c>
      <c r="B79" s="100"/>
      <c r="C79" s="101"/>
      <c r="F79" s="102"/>
    </row>
    <row r="80" spans="1:14" x14ac:dyDescent="0.25">
      <c r="A80" s="68"/>
      <c r="B80" s="100"/>
      <c r="C80" s="101"/>
      <c r="F80" s="102"/>
    </row>
    <row r="81" spans="1:6" hidden="1" x14ac:dyDescent="0.25">
      <c r="A81" s="68"/>
      <c r="B81" s="100"/>
      <c r="C81" s="101"/>
      <c r="F81" s="102"/>
    </row>
    <row r="82" spans="1:6" hidden="1" x14ac:dyDescent="0.25">
      <c r="A82" s="68"/>
      <c r="B82" s="100"/>
      <c r="C82" s="101"/>
      <c r="F82" s="102"/>
    </row>
    <row r="83" spans="1:6" hidden="1" x14ac:dyDescent="0.25">
      <c r="A83" s="68"/>
      <c r="B83" s="100"/>
      <c r="C83" s="101"/>
      <c r="F83" s="102"/>
    </row>
    <row r="84" spans="1:6" hidden="1" x14ac:dyDescent="0.25">
      <c r="A84" s="68"/>
      <c r="B84" s="100"/>
      <c r="C84" s="101"/>
      <c r="F84" s="102"/>
    </row>
    <row r="85" spans="1:6" hidden="1" x14ac:dyDescent="0.25">
      <c r="A85" s="68"/>
      <c r="B85" s="100"/>
      <c r="C85" s="101"/>
      <c r="F85" s="102"/>
    </row>
    <row r="86" spans="1:6" hidden="1" x14ac:dyDescent="0.25">
      <c r="A86" s="68"/>
      <c r="B86" s="100"/>
      <c r="C86" s="101"/>
      <c r="F86" s="102"/>
    </row>
    <row r="87" spans="1:6" hidden="1" x14ac:dyDescent="0.25">
      <c r="A87" s="68"/>
      <c r="B87" s="100"/>
      <c r="C87" s="101"/>
      <c r="F87" s="102"/>
    </row>
    <row r="88" spans="1:6" hidden="1" x14ac:dyDescent="0.25">
      <c r="A88" s="68"/>
      <c r="B88" s="100"/>
      <c r="C88" s="101"/>
      <c r="F88" s="102"/>
    </row>
    <row r="89" spans="1:6" hidden="1" x14ac:dyDescent="0.25">
      <c r="A89" s="68"/>
      <c r="B89" s="100"/>
      <c r="C89" s="101"/>
      <c r="F89" s="102"/>
    </row>
    <row r="90" spans="1:6" hidden="1" x14ac:dyDescent="0.25">
      <c r="A90" s="103"/>
      <c r="B90" s="100"/>
      <c r="C90" s="101"/>
      <c r="F90" s="102"/>
    </row>
    <row r="91" spans="1:6" hidden="1" x14ac:dyDescent="0.25">
      <c r="A91" s="103"/>
      <c r="B91" s="100"/>
      <c r="C91" s="101"/>
      <c r="F91" s="102"/>
    </row>
    <row r="92" spans="1:6" hidden="1" x14ac:dyDescent="0.25">
      <c r="A92" s="103"/>
      <c r="B92" s="100"/>
      <c r="C92" s="101"/>
      <c r="F92" s="102"/>
    </row>
    <row r="93" spans="1:6" hidden="1" x14ac:dyDescent="0.25">
      <c r="A93" s="103"/>
      <c r="B93" s="100"/>
      <c r="C93" s="101"/>
      <c r="F93" s="102"/>
    </row>
    <row r="94" spans="1:6" hidden="1" x14ac:dyDescent="0.25">
      <c r="A94" s="103"/>
      <c r="B94" s="100"/>
    </row>
    <row r="95" spans="1:6" hidden="1" x14ac:dyDescent="0.25">
      <c r="A95" s="103"/>
      <c r="B95" s="100"/>
    </row>
    <row r="96" spans="1:6" hidden="1" x14ac:dyDescent="0.25">
      <c r="A96" s="103"/>
      <c r="B96" s="100"/>
    </row>
    <row r="97" spans="1:2" hidden="1" x14ac:dyDescent="0.25">
      <c r="A97" s="103"/>
      <c r="B97" s="100"/>
    </row>
    <row r="98" spans="1:2" hidden="1" x14ac:dyDescent="0.25">
      <c r="A98" s="103"/>
      <c r="B98" s="100"/>
    </row>
    <row r="99" spans="1:2" hidden="1" x14ac:dyDescent="0.25">
      <c r="A99" s="103"/>
      <c r="B99" s="100"/>
    </row>
    <row r="100" spans="1:2" hidden="1" x14ac:dyDescent="0.25">
      <c r="A100" s="103"/>
      <c r="B100" s="100"/>
    </row>
    <row r="101" spans="1:2" hidden="1" x14ac:dyDescent="0.25">
      <c r="A101" s="103"/>
      <c r="B101" s="100"/>
    </row>
    <row r="102" spans="1:2" hidden="1" x14ac:dyDescent="0.25">
      <c r="A102" s="103"/>
      <c r="B102" s="100"/>
    </row>
    <row r="103" spans="1:2" hidden="1" x14ac:dyDescent="0.25">
      <c r="A103" s="103"/>
      <c r="B103" s="100"/>
    </row>
    <row r="104" spans="1:2" hidden="1" x14ac:dyDescent="0.25">
      <c r="A104" s="100"/>
      <c r="B104" s="100"/>
    </row>
    <row r="105" spans="1:2" hidden="1" x14ac:dyDescent="0.25">
      <c r="A105" s="100"/>
      <c r="B105" s="100"/>
    </row>
    <row r="106" spans="1:2" hidden="1" x14ac:dyDescent="0.25">
      <c r="A106" s="100"/>
      <c r="B106" s="100"/>
    </row>
  </sheetData>
  <sheetProtection algorithmName="SHA-512" hashValue="y6eqCI8AlmZ7MGpCUtdjk8jhMHOCeWfyHujGvoLNWlucJpbiefSp2QRWhiHxRqrA91Buyjp+eqahN5F4kEgmwA==" saltValue="SmA1PSSnumaIgGyNChDKzA==" spinCount="100000" sheet="1" scenarios="1"/>
  <mergeCells count="6">
    <mergeCell ref="A17:D17"/>
    <mergeCell ref="A16:D16"/>
    <mergeCell ref="A74:D74"/>
    <mergeCell ref="A73:C73"/>
    <mergeCell ref="A19:D19"/>
    <mergeCell ref="A20:D20"/>
  </mergeCells>
  <phoneticPr fontId="11" type="noConversion"/>
  <conditionalFormatting sqref="A16:P16">
    <cfRule type="cellIs" dxfId="9" priority="1" stopIfTrue="1" operator="equal">
      <formula>"PLEASE ENTER YOUR NAME HERE"</formula>
    </cfRule>
  </conditionalFormatting>
  <dataValidations count="3">
    <dataValidation allowBlank="1" showErrorMessage="1" errorTitle="Invalid Input!" error="Please enter a positive number for loan amount!" sqref="A23:A71 D23:E71" xr:uid="{00000000-0002-0000-0300-000000000000}"/>
    <dataValidation type="whole" allowBlank="1" showErrorMessage="1" errorTitle="Invalid Input!" error="Please enter a positive number for investment amount!" sqref="C23:C71" xr:uid="{00000000-0002-0000-0300-000001000000}">
      <formula1>0</formula1>
      <formula2>9999999</formula2>
    </dataValidation>
    <dataValidation type="date" allowBlank="1" showInputMessage="1" showErrorMessage="1" errorTitle="Invalid Date!" error="Only NSCs purchased in the previous 4 financial years (excluding current) accrue interest" sqref="B23:B71" xr:uid="{00000000-0002-0000-0300-000002000000}">
      <formula1>$D$13</formula1>
      <formula2>$F$13</formula2>
    </dataValidation>
  </dataValidations>
  <printOptions horizontalCentered="1"/>
  <pageMargins left="0.75" right="0.75" top="0.75" bottom="0.75" header="0.5" footer="0.5"/>
  <pageSetup paperSize="9" orientation="portrait" r:id="rId1"/>
  <headerFooter>
    <oddHeader>&amp;L&amp;"Verdana,Bold"&amp;D&amp;C&amp;"Verdana,Bold"Accrued Interest for NSC&amp;R&amp;"Verdana,Bold"Page &amp;P of &amp;N</oddHeader>
    <oddFooter>&amp;L&amp;"Tahoma,Regular"Free Download from http://taxcalc.ynithya.com/&amp;C&amp;"Tahoma,Regular"(Version 26.1)&amp;R&amp;"Tahoma,Regular"© 1997-2024, Nithyanand Yeswanth</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920A0-FF82-400B-B772-3B657B28D5CA}">
  <sheetPr>
    <tabColor theme="5" tint="-0.249977111117893"/>
    <pageSetUpPr fitToPage="1"/>
  </sheetPr>
  <dimension ref="A1:L234"/>
  <sheetViews>
    <sheetView showGridLines="0" zoomScaleNormal="100" workbookViewId="0">
      <pane ySplit="4" topLeftCell="A5" activePane="bottomLeft" state="frozen"/>
      <selection pane="bottomLeft" activeCell="A5" sqref="A5"/>
    </sheetView>
  </sheetViews>
  <sheetFormatPr defaultColWidth="0" defaultRowHeight="12.75" zeroHeight="1" x14ac:dyDescent="0.25"/>
  <cols>
    <col min="1" max="1" width="50.83203125" style="72" customWidth="1"/>
    <col min="2" max="4" width="14.33203125" style="72" customWidth="1"/>
    <col min="5" max="5" width="0.33203125" style="72" customWidth="1"/>
    <col min="6" max="7" width="10.83203125" style="72" hidden="1" customWidth="1"/>
    <col min="8" max="8" width="14" style="72" hidden="1" customWidth="1"/>
    <col min="9" max="11" width="10.83203125" style="72" hidden="1" customWidth="1"/>
    <col min="12" max="12" width="14" style="72" hidden="1" customWidth="1"/>
    <col min="13" max="16384" width="10.83203125" style="72" hidden="1"/>
  </cols>
  <sheetData>
    <row r="1" spans="1:11" s="33" customFormat="1" ht="30" customHeight="1" x14ac:dyDescent="0.25">
      <c r="A1" s="388" t="str">
        <f>Instructions!B7</f>
        <v>PLEASE ENTER YOUR NAME HERE</v>
      </c>
      <c r="B1" s="388"/>
      <c r="C1" s="388"/>
      <c r="D1" s="388"/>
    </row>
    <row r="2" spans="1:11" ht="18" customHeight="1" x14ac:dyDescent="0.25">
      <c r="A2" s="389" t="s">
        <v>531</v>
      </c>
      <c r="B2" s="389"/>
      <c r="C2" s="389"/>
      <c r="D2" s="389"/>
      <c r="J2" s="72" t="s">
        <v>224</v>
      </c>
      <c r="K2" s="128">
        <v>0.2</v>
      </c>
    </row>
    <row r="3" spans="1:11" x14ac:dyDescent="0.25">
      <c r="D3" s="75"/>
    </row>
    <row r="4" spans="1:11" ht="12.75" customHeight="1" x14ac:dyDescent="0.25">
      <c r="A4" s="301" t="s">
        <v>523</v>
      </c>
      <c r="B4" s="221" t="s">
        <v>525</v>
      </c>
      <c r="C4" s="221" t="s">
        <v>524</v>
      </c>
      <c r="D4" s="221" t="s">
        <v>526</v>
      </c>
      <c r="K4" s="75"/>
    </row>
    <row r="5" spans="1:11" x14ac:dyDescent="0.25">
      <c r="A5" s="133"/>
      <c r="B5" s="135"/>
      <c r="C5" s="135"/>
      <c r="D5" s="302">
        <f>SUM(B5:C5)</f>
        <v>0</v>
      </c>
      <c r="F5" s="131" t="e">
        <f ca="1">IF(#REF!="LT",B5*#REF!-#REF!*B5*INDIRECT("'Cost Inflation Index'!C"&amp;ROWS(CostInflationTable[#All]))/VLOOKUP(I5,CostInflationTable[[#All],[Yr begin]:[CII]],2,0),0)</f>
        <v>#REF!</v>
      </c>
      <c r="G5" s="131" t="e">
        <f>IF(#REF!="ST",#REF!*B5-#REF!*B5,0)</f>
        <v>#REF!</v>
      </c>
      <c r="H5" s="75" t="e">
        <f>MAX(#REF!,#REF!)</f>
        <v>#REF!</v>
      </c>
      <c r="I5" s="72" t="e">
        <f>TEXT(YEAR(#REF!)-IF(MONTH(#REF!)&lt;4,1,0),"0")</f>
        <v>#REF!</v>
      </c>
    </row>
    <row r="6" spans="1:11" x14ac:dyDescent="0.25">
      <c r="A6" s="133"/>
      <c r="B6" s="135"/>
      <c r="C6" s="135"/>
      <c r="D6" s="302">
        <f t="shared" ref="D6:D69" si="0">SUM(B6:C6)</f>
        <v>0</v>
      </c>
      <c r="F6" s="131"/>
      <c r="G6" s="131"/>
      <c r="H6" s="75"/>
    </row>
    <row r="7" spans="1:11" x14ac:dyDescent="0.25">
      <c r="A7" s="133"/>
      <c r="B7" s="135"/>
      <c r="C7" s="135"/>
      <c r="D7" s="302">
        <f t="shared" si="0"/>
        <v>0</v>
      </c>
      <c r="F7" s="131"/>
      <c r="G7" s="131"/>
      <c r="H7" s="75"/>
    </row>
    <row r="8" spans="1:11" x14ac:dyDescent="0.25">
      <c r="A8" s="133"/>
      <c r="B8" s="135"/>
      <c r="C8" s="135"/>
      <c r="D8" s="302">
        <f t="shared" si="0"/>
        <v>0</v>
      </c>
      <c r="F8" s="131"/>
      <c r="G8" s="131"/>
      <c r="H8" s="75"/>
    </row>
    <row r="9" spans="1:11" x14ac:dyDescent="0.25">
      <c r="A9" s="133"/>
      <c r="B9" s="135"/>
      <c r="C9" s="135"/>
      <c r="D9" s="302">
        <f t="shared" si="0"/>
        <v>0</v>
      </c>
      <c r="F9" s="131"/>
      <c r="G9" s="131"/>
      <c r="H9" s="75"/>
    </row>
    <row r="10" spans="1:11" x14ac:dyDescent="0.25">
      <c r="A10" s="133"/>
      <c r="B10" s="135"/>
      <c r="C10" s="135"/>
      <c r="D10" s="302">
        <f t="shared" si="0"/>
        <v>0</v>
      </c>
      <c r="F10" s="131"/>
      <c r="G10" s="131"/>
      <c r="H10" s="75"/>
    </row>
    <row r="11" spans="1:11" x14ac:dyDescent="0.25">
      <c r="A11" s="133"/>
      <c r="B11" s="135"/>
      <c r="C11" s="135"/>
      <c r="D11" s="302">
        <f t="shared" si="0"/>
        <v>0</v>
      </c>
      <c r="F11" s="131"/>
      <c r="G11" s="131"/>
      <c r="H11" s="75"/>
    </row>
    <row r="12" spans="1:11" x14ac:dyDescent="0.25">
      <c r="A12" s="133"/>
      <c r="B12" s="135"/>
      <c r="C12" s="135"/>
      <c r="D12" s="302">
        <f t="shared" si="0"/>
        <v>0</v>
      </c>
      <c r="F12" s="131"/>
      <c r="G12" s="131"/>
      <c r="H12" s="75"/>
    </row>
    <row r="13" spans="1:11" x14ac:dyDescent="0.25">
      <c r="A13" s="133"/>
      <c r="B13" s="135"/>
      <c r="C13" s="135"/>
      <c r="D13" s="302">
        <f t="shared" si="0"/>
        <v>0</v>
      </c>
      <c r="F13" s="131"/>
      <c r="G13" s="131"/>
      <c r="H13" s="75"/>
    </row>
    <row r="14" spans="1:11" x14ac:dyDescent="0.25">
      <c r="A14" s="133"/>
      <c r="B14" s="135"/>
      <c r="C14" s="135"/>
      <c r="D14" s="302">
        <f t="shared" si="0"/>
        <v>0</v>
      </c>
      <c r="F14" s="131"/>
      <c r="G14" s="131"/>
      <c r="H14" s="75"/>
    </row>
    <row r="15" spans="1:11" x14ac:dyDescent="0.25">
      <c r="A15" s="133"/>
      <c r="B15" s="135"/>
      <c r="C15" s="135"/>
      <c r="D15" s="302">
        <f t="shared" si="0"/>
        <v>0</v>
      </c>
      <c r="F15" s="131"/>
      <c r="G15" s="131"/>
      <c r="H15" s="75"/>
    </row>
    <row r="16" spans="1:11" x14ac:dyDescent="0.25">
      <c r="A16" s="133"/>
      <c r="B16" s="135"/>
      <c r="C16" s="135"/>
      <c r="D16" s="302">
        <f t="shared" si="0"/>
        <v>0</v>
      </c>
      <c r="F16" s="131"/>
      <c r="G16" s="131"/>
      <c r="H16" s="75"/>
    </row>
    <row r="17" spans="1:8" x14ac:dyDescent="0.25">
      <c r="A17" s="133"/>
      <c r="B17" s="135"/>
      <c r="C17" s="135"/>
      <c r="D17" s="302">
        <f t="shared" si="0"/>
        <v>0</v>
      </c>
      <c r="F17" s="131"/>
      <c r="G17" s="131"/>
      <c r="H17" s="75"/>
    </row>
    <row r="18" spans="1:8" x14ac:dyDescent="0.25">
      <c r="A18" s="133"/>
      <c r="B18" s="135"/>
      <c r="C18" s="135"/>
      <c r="D18" s="302">
        <f t="shared" si="0"/>
        <v>0</v>
      </c>
      <c r="F18" s="131"/>
      <c r="G18" s="131"/>
      <c r="H18" s="75"/>
    </row>
    <row r="19" spans="1:8" x14ac:dyDescent="0.25">
      <c r="A19" s="133"/>
      <c r="B19" s="135"/>
      <c r="C19" s="135"/>
      <c r="D19" s="302">
        <f t="shared" si="0"/>
        <v>0</v>
      </c>
      <c r="F19" s="131"/>
      <c r="G19" s="131"/>
      <c r="H19" s="75"/>
    </row>
    <row r="20" spans="1:8" x14ac:dyDescent="0.25">
      <c r="A20" s="133"/>
      <c r="B20" s="135"/>
      <c r="C20" s="135"/>
      <c r="D20" s="302">
        <f t="shared" si="0"/>
        <v>0</v>
      </c>
      <c r="F20" s="131"/>
      <c r="G20" s="131"/>
      <c r="H20" s="75"/>
    </row>
    <row r="21" spans="1:8" x14ac:dyDescent="0.25">
      <c r="A21" s="133"/>
      <c r="B21" s="135"/>
      <c r="C21" s="135"/>
      <c r="D21" s="302">
        <f t="shared" si="0"/>
        <v>0</v>
      </c>
      <c r="F21" s="131"/>
      <c r="G21" s="131"/>
      <c r="H21" s="75"/>
    </row>
    <row r="22" spans="1:8" x14ac:dyDescent="0.25">
      <c r="A22" s="133"/>
      <c r="B22" s="135"/>
      <c r="C22" s="135"/>
      <c r="D22" s="302">
        <f t="shared" si="0"/>
        <v>0</v>
      </c>
      <c r="F22" s="131"/>
      <c r="G22" s="131"/>
      <c r="H22" s="75"/>
    </row>
    <row r="23" spans="1:8" x14ac:dyDescent="0.25">
      <c r="A23" s="133"/>
      <c r="B23" s="135"/>
      <c r="C23" s="135"/>
      <c r="D23" s="302">
        <f t="shared" si="0"/>
        <v>0</v>
      </c>
      <c r="F23" s="131"/>
      <c r="G23" s="131"/>
      <c r="H23" s="75"/>
    </row>
    <row r="24" spans="1:8" x14ac:dyDescent="0.25">
      <c r="A24" s="133"/>
      <c r="B24" s="135"/>
      <c r="C24" s="135"/>
      <c r="D24" s="302">
        <f t="shared" si="0"/>
        <v>0</v>
      </c>
      <c r="F24" s="131"/>
      <c r="G24" s="131"/>
      <c r="H24" s="75"/>
    </row>
    <row r="25" spans="1:8" x14ac:dyDescent="0.25">
      <c r="A25" s="133"/>
      <c r="B25" s="135"/>
      <c r="C25" s="135"/>
      <c r="D25" s="302">
        <f t="shared" si="0"/>
        <v>0</v>
      </c>
      <c r="F25" s="131"/>
      <c r="G25" s="131"/>
      <c r="H25" s="75"/>
    </row>
    <row r="26" spans="1:8" x14ac:dyDescent="0.25">
      <c r="A26" s="133"/>
      <c r="B26" s="135"/>
      <c r="C26" s="135"/>
      <c r="D26" s="302">
        <f t="shared" si="0"/>
        <v>0</v>
      </c>
      <c r="F26" s="131"/>
      <c r="G26" s="131"/>
      <c r="H26" s="75"/>
    </row>
    <row r="27" spans="1:8" x14ac:dyDescent="0.25">
      <c r="A27" s="133"/>
      <c r="B27" s="135"/>
      <c r="C27" s="135"/>
      <c r="D27" s="302">
        <f t="shared" si="0"/>
        <v>0</v>
      </c>
      <c r="F27" s="131"/>
      <c r="G27" s="131"/>
      <c r="H27" s="75"/>
    </row>
    <row r="28" spans="1:8" x14ac:dyDescent="0.25">
      <c r="A28" s="133"/>
      <c r="B28" s="135"/>
      <c r="C28" s="135"/>
      <c r="D28" s="302">
        <f t="shared" si="0"/>
        <v>0</v>
      </c>
      <c r="F28" s="131"/>
      <c r="G28" s="131"/>
      <c r="H28" s="75"/>
    </row>
    <row r="29" spans="1:8" x14ac:dyDescent="0.25">
      <c r="A29" s="133"/>
      <c r="B29" s="135"/>
      <c r="C29" s="135"/>
      <c r="D29" s="302">
        <f t="shared" si="0"/>
        <v>0</v>
      </c>
      <c r="F29" s="131"/>
      <c r="G29" s="131"/>
      <c r="H29" s="75"/>
    </row>
    <row r="30" spans="1:8" x14ac:dyDescent="0.25">
      <c r="A30" s="133"/>
      <c r="B30" s="135"/>
      <c r="C30" s="135"/>
      <c r="D30" s="302">
        <f t="shared" si="0"/>
        <v>0</v>
      </c>
      <c r="F30" s="131"/>
      <c r="G30" s="131"/>
      <c r="H30" s="75"/>
    </row>
    <row r="31" spans="1:8" x14ac:dyDescent="0.25">
      <c r="A31" s="133"/>
      <c r="B31" s="135"/>
      <c r="C31" s="135"/>
      <c r="D31" s="302">
        <f t="shared" si="0"/>
        <v>0</v>
      </c>
      <c r="F31" s="131"/>
      <c r="G31" s="131"/>
      <c r="H31" s="75"/>
    </row>
    <row r="32" spans="1:8" x14ac:dyDescent="0.25">
      <c r="A32" s="133"/>
      <c r="B32" s="135"/>
      <c r="C32" s="135"/>
      <c r="D32" s="302">
        <f t="shared" si="0"/>
        <v>0</v>
      </c>
      <c r="F32" s="131"/>
      <c r="G32" s="131"/>
      <c r="H32" s="75"/>
    </row>
    <row r="33" spans="1:8" x14ac:dyDescent="0.25">
      <c r="A33" s="133"/>
      <c r="B33" s="135"/>
      <c r="C33" s="135"/>
      <c r="D33" s="302">
        <f t="shared" si="0"/>
        <v>0</v>
      </c>
      <c r="F33" s="131"/>
      <c r="G33" s="131"/>
      <c r="H33" s="75"/>
    </row>
    <row r="34" spans="1:8" x14ac:dyDescent="0.25">
      <c r="A34" s="133"/>
      <c r="B34" s="135"/>
      <c r="C34" s="135"/>
      <c r="D34" s="302">
        <f t="shared" si="0"/>
        <v>0</v>
      </c>
      <c r="F34" s="131"/>
      <c r="G34" s="131"/>
      <c r="H34" s="75"/>
    </row>
    <row r="35" spans="1:8" x14ac:dyDescent="0.25">
      <c r="A35" s="133"/>
      <c r="B35" s="135"/>
      <c r="C35" s="135"/>
      <c r="D35" s="302">
        <f t="shared" si="0"/>
        <v>0</v>
      </c>
      <c r="F35" s="131"/>
      <c r="G35" s="131"/>
      <c r="H35" s="75"/>
    </row>
    <row r="36" spans="1:8" x14ac:dyDescent="0.25">
      <c r="A36" s="133"/>
      <c r="B36" s="135"/>
      <c r="C36" s="135"/>
      <c r="D36" s="302">
        <f t="shared" si="0"/>
        <v>0</v>
      </c>
      <c r="F36" s="131"/>
      <c r="G36" s="131"/>
      <c r="H36" s="75"/>
    </row>
    <row r="37" spans="1:8" x14ac:dyDescent="0.25">
      <c r="A37" s="133"/>
      <c r="B37" s="135"/>
      <c r="C37" s="135"/>
      <c r="D37" s="302">
        <f t="shared" si="0"/>
        <v>0</v>
      </c>
      <c r="F37" s="131"/>
      <c r="G37" s="131"/>
      <c r="H37" s="75"/>
    </row>
    <row r="38" spans="1:8" x14ac:dyDescent="0.25">
      <c r="A38" s="133"/>
      <c r="B38" s="135"/>
      <c r="C38" s="135"/>
      <c r="D38" s="302">
        <f t="shared" si="0"/>
        <v>0</v>
      </c>
      <c r="F38" s="131"/>
      <c r="G38" s="131"/>
      <c r="H38" s="75"/>
    </row>
    <row r="39" spans="1:8" x14ac:dyDescent="0.25">
      <c r="A39" s="133"/>
      <c r="B39" s="135"/>
      <c r="C39" s="135"/>
      <c r="D39" s="302">
        <f t="shared" si="0"/>
        <v>0</v>
      </c>
      <c r="F39" s="131"/>
      <c r="G39" s="131"/>
      <c r="H39" s="75"/>
    </row>
    <row r="40" spans="1:8" x14ac:dyDescent="0.25">
      <c r="A40" s="133"/>
      <c r="B40" s="135"/>
      <c r="C40" s="135"/>
      <c r="D40" s="302">
        <f t="shared" si="0"/>
        <v>0</v>
      </c>
      <c r="F40" s="131"/>
      <c r="G40" s="131"/>
      <c r="H40" s="75"/>
    </row>
    <row r="41" spans="1:8" x14ac:dyDescent="0.25">
      <c r="A41" s="133"/>
      <c r="B41" s="135"/>
      <c r="C41" s="135"/>
      <c r="D41" s="302">
        <f t="shared" si="0"/>
        <v>0</v>
      </c>
      <c r="F41" s="131"/>
      <c r="G41" s="131"/>
      <c r="H41" s="75"/>
    </row>
    <row r="42" spans="1:8" x14ac:dyDescent="0.25">
      <c r="A42" s="133"/>
      <c r="B42" s="135"/>
      <c r="C42" s="135"/>
      <c r="D42" s="302">
        <f t="shared" si="0"/>
        <v>0</v>
      </c>
      <c r="F42" s="131"/>
      <c r="G42" s="131"/>
      <c r="H42" s="75"/>
    </row>
    <row r="43" spans="1:8" x14ac:dyDescent="0.25">
      <c r="A43" s="133"/>
      <c r="B43" s="135"/>
      <c r="C43" s="135"/>
      <c r="D43" s="302">
        <f t="shared" si="0"/>
        <v>0</v>
      </c>
      <c r="F43" s="131"/>
      <c r="G43" s="131"/>
      <c r="H43" s="75"/>
    </row>
    <row r="44" spans="1:8" x14ac:dyDescent="0.25">
      <c r="A44" s="133"/>
      <c r="B44" s="135"/>
      <c r="C44" s="135"/>
      <c r="D44" s="302">
        <f t="shared" si="0"/>
        <v>0</v>
      </c>
      <c r="F44" s="131"/>
      <c r="G44" s="131"/>
      <c r="H44" s="75"/>
    </row>
    <row r="45" spans="1:8" x14ac:dyDescent="0.25">
      <c r="A45" s="133"/>
      <c r="B45" s="135"/>
      <c r="C45" s="135"/>
      <c r="D45" s="302">
        <f t="shared" si="0"/>
        <v>0</v>
      </c>
      <c r="F45" s="131"/>
      <c r="G45" s="131"/>
      <c r="H45" s="75"/>
    </row>
    <row r="46" spans="1:8" x14ac:dyDescent="0.25">
      <c r="A46" s="133"/>
      <c r="B46" s="135"/>
      <c r="C46" s="135"/>
      <c r="D46" s="302">
        <f t="shared" si="0"/>
        <v>0</v>
      </c>
      <c r="F46" s="131"/>
      <c r="G46" s="131"/>
      <c r="H46" s="75"/>
    </row>
    <row r="47" spans="1:8" x14ac:dyDescent="0.25">
      <c r="A47" s="133"/>
      <c r="B47" s="135"/>
      <c r="C47" s="135"/>
      <c r="D47" s="302">
        <f t="shared" si="0"/>
        <v>0</v>
      </c>
      <c r="F47" s="131"/>
      <c r="G47" s="131"/>
      <c r="H47" s="75"/>
    </row>
    <row r="48" spans="1:8" x14ac:dyDescent="0.25">
      <c r="A48" s="133"/>
      <c r="B48" s="135"/>
      <c r="C48" s="135"/>
      <c r="D48" s="302">
        <f t="shared" si="0"/>
        <v>0</v>
      </c>
      <c r="F48" s="131"/>
      <c r="G48" s="131"/>
      <c r="H48" s="75"/>
    </row>
    <row r="49" spans="1:8" x14ac:dyDescent="0.25">
      <c r="A49" s="133"/>
      <c r="B49" s="135"/>
      <c r="C49" s="135"/>
      <c r="D49" s="302">
        <f t="shared" si="0"/>
        <v>0</v>
      </c>
      <c r="F49" s="131"/>
      <c r="G49" s="131"/>
      <c r="H49" s="75"/>
    </row>
    <row r="50" spans="1:8" x14ac:dyDescent="0.25">
      <c r="A50" s="133"/>
      <c r="B50" s="135"/>
      <c r="C50" s="135"/>
      <c r="D50" s="302">
        <f t="shared" si="0"/>
        <v>0</v>
      </c>
      <c r="F50" s="131"/>
      <c r="G50" s="131"/>
      <c r="H50" s="75"/>
    </row>
    <row r="51" spans="1:8" x14ac:dyDescent="0.25">
      <c r="A51" s="133"/>
      <c r="B51" s="135"/>
      <c r="C51" s="135"/>
      <c r="D51" s="302">
        <f t="shared" si="0"/>
        <v>0</v>
      </c>
      <c r="F51" s="131"/>
      <c r="G51" s="131"/>
      <c r="H51" s="75"/>
    </row>
    <row r="52" spans="1:8" x14ac:dyDescent="0.25">
      <c r="A52" s="133"/>
      <c r="B52" s="135"/>
      <c r="C52" s="135"/>
      <c r="D52" s="302">
        <f t="shared" si="0"/>
        <v>0</v>
      </c>
      <c r="F52" s="131"/>
      <c r="G52" s="131"/>
      <c r="H52" s="75"/>
    </row>
    <row r="53" spans="1:8" x14ac:dyDescent="0.25">
      <c r="A53" s="133"/>
      <c r="B53" s="135"/>
      <c r="C53" s="135"/>
      <c r="D53" s="302">
        <f t="shared" si="0"/>
        <v>0</v>
      </c>
      <c r="F53" s="131"/>
      <c r="G53" s="131"/>
      <c r="H53" s="75"/>
    </row>
    <row r="54" spans="1:8" x14ac:dyDescent="0.25">
      <c r="A54" s="133"/>
      <c r="B54" s="135"/>
      <c r="C54" s="135"/>
      <c r="D54" s="302">
        <f t="shared" si="0"/>
        <v>0</v>
      </c>
      <c r="F54" s="131"/>
      <c r="G54" s="131"/>
      <c r="H54" s="75"/>
    </row>
    <row r="55" spans="1:8" x14ac:dyDescent="0.25">
      <c r="A55" s="133"/>
      <c r="B55" s="135"/>
      <c r="C55" s="135"/>
      <c r="D55" s="302">
        <f t="shared" si="0"/>
        <v>0</v>
      </c>
      <c r="F55" s="131"/>
      <c r="G55" s="131"/>
      <c r="H55" s="75"/>
    </row>
    <row r="56" spans="1:8" x14ac:dyDescent="0.25">
      <c r="A56" s="133"/>
      <c r="B56" s="135"/>
      <c r="C56" s="135"/>
      <c r="D56" s="302">
        <f t="shared" si="0"/>
        <v>0</v>
      </c>
      <c r="F56" s="131"/>
      <c r="G56" s="131"/>
      <c r="H56" s="75"/>
    </row>
    <row r="57" spans="1:8" x14ac:dyDescent="0.25">
      <c r="A57" s="133"/>
      <c r="B57" s="135"/>
      <c r="C57" s="135"/>
      <c r="D57" s="302">
        <f t="shared" si="0"/>
        <v>0</v>
      </c>
      <c r="F57" s="131"/>
      <c r="G57" s="131"/>
      <c r="H57" s="75"/>
    </row>
    <row r="58" spans="1:8" x14ac:dyDescent="0.25">
      <c r="A58" s="133"/>
      <c r="B58" s="135"/>
      <c r="C58" s="135"/>
      <c r="D58" s="302">
        <f t="shared" si="0"/>
        <v>0</v>
      </c>
      <c r="F58" s="131"/>
      <c r="G58" s="131"/>
      <c r="H58" s="75"/>
    </row>
    <row r="59" spans="1:8" x14ac:dyDescent="0.25">
      <c r="A59" s="133"/>
      <c r="B59" s="135"/>
      <c r="C59" s="135"/>
      <c r="D59" s="302">
        <f t="shared" si="0"/>
        <v>0</v>
      </c>
      <c r="F59" s="131"/>
      <c r="G59" s="131"/>
      <c r="H59" s="75"/>
    </row>
    <row r="60" spans="1:8" x14ac:dyDescent="0.25">
      <c r="A60" s="133"/>
      <c r="B60" s="135"/>
      <c r="C60" s="135"/>
      <c r="D60" s="302">
        <f t="shared" si="0"/>
        <v>0</v>
      </c>
      <c r="F60" s="131"/>
      <c r="G60" s="131"/>
      <c r="H60" s="75"/>
    </row>
    <row r="61" spans="1:8" x14ac:dyDescent="0.25">
      <c r="A61" s="133"/>
      <c r="B61" s="135"/>
      <c r="C61" s="135"/>
      <c r="D61" s="302">
        <f t="shared" si="0"/>
        <v>0</v>
      </c>
      <c r="F61" s="131"/>
      <c r="G61" s="131"/>
      <c r="H61" s="75"/>
    </row>
    <row r="62" spans="1:8" x14ac:dyDescent="0.25">
      <c r="A62" s="133"/>
      <c r="B62" s="135"/>
      <c r="C62" s="135"/>
      <c r="D62" s="302">
        <f t="shared" si="0"/>
        <v>0</v>
      </c>
      <c r="F62" s="131"/>
      <c r="G62" s="131"/>
      <c r="H62" s="75"/>
    </row>
    <row r="63" spans="1:8" x14ac:dyDescent="0.25">
      <c r="A63" s="133"/>
      <c r="B63" s="135"/>
      <c r="C63" s="135"/>
      <c r="D63" s="302">
        <f t="shared" si="0"/>
        <v>0</v>
      </c>
      <c r="F63" s="131"/>
      <c r="G63" s="131"/>
      <c r="H63" s="75"/>
    </row>
    <row r="64" spans="1:8" x14ac:dyDescent="0.25">
      <c r="A64" s="133"/>
      <c r="B64" s="135"/>
      <c r="C64" s="135"/>
      <c r="D64" s="302">
        <f t="shared" si="0"/>
        <v>0</v>
      </c>
      <c r="F64" s="131"/>
      <c r="G64" s="131"/>
      <c r="H64" s="75"/>
    </row>
    <row r="65" spans="1:8" x14ac:dyDescent="0.25">
      <c r="A65" s="133"/>
      <c r="B65" s="135"/>
      <c r="C65" s="135"/>
      <c r="D65" s="302">
        <f t="shared" si="0"/>
        <v>0</v>
      </c>
      <c r="F65" s="131"/>
      <c r="G65" s="131"/>
      <c r="H65" s="75"/>
    </row>
    <row r="66" spans="1:8" x14ac:dyDescent="0.25">
      <c r="A66" s="133"/>
      <c r="B66" s="135"/>
      <c r="C66" s="135"/>
      <c r="D66" s="302">
        <f t="shared" si="0"/>
        <v>0</v>
      </c>
      <c r="F66" s="131"/>
      <c r="G66" s="131"/>
      <c r="H66" s="75"/>
    </row>
    <row r="67" spans="1:8" x14ac:dyDescent="0.25">
      <c r="A67" s="133"/>
      <c r="B67" s="135"/>
      <c r="C67" s="135"/>
      <c r="D67" s="302">
        <f t="shared" si="0"/>
        <v>0</v>
      </c>
      <c r="F67" s="131"/>
      <c r="G67" s="131"/>
      <c r="H67" s="75"/>
    </row>
    <row r="68" spans="1:8" x14ac:dyDescent="0.25">
      <c r="A68" s="133"/>
      <c r="B68" s="135"/>
      <c r="C68" s="135"/>
      <c r="D68" s="302">
        <f t="shared" si="0"/>
        <v>0</v>
      </c>
      <c r="F68" s="131"/>
      <c r="G68" s="131"/>
      <c r="H68" s="75"/>
    </row>
    <row r="69" spans="1:8" x14ac:dyDescent="0.25">
      <c r="A69" s="133"/>
      <c r="B69" s="135"/>
      <c r="C69" s="135"/>
      <c r="D69" s="302">
        <f t="shared" si="0"/>
        <v>0</v>
      </c>
      <c r="F69" s="131"/>
      <c r="G69" s="131"/>
      <c r="H69" s="75"/>
    </row>
    <row r="70" spans="1:8" x14ac:dyDescent="0.25">
      <c r="A70" s="133"/>
      <c r="B70" s="135"/>
      <c r="C70" s="135"/>
      <c r="D70" s="302">
        <f t="shared" ref="D70:D133" si="1">SUM(B70:C70)</f>
        <v>0</v>
      </c>
      <c r="F70" s="131"/>
      <c r="G70" s="131"/>
      <c r="H70" s="75"/>
    </row>
    <row r="71" spans="1:8" x14ac:dyDescent="0.25">
      <c r="A71" s="133"/>
      <c r="B71" s="135"/>
      <c r="C71" s="135"/>
      <c r="D71" s="302">
        <f t="shared" si="1"/>
        <v>0</v>
      </c>
      <c r="F71" s="131"/>
      <c r="G71" s="131"/>
      <c r="H71" s="75"/>
    </row>
    <row r="72" spans="1:8" x14ac:dyDescent="0.25">
      <c r="A72" s="133"/>
      <c r="B72" s="135"/>
      <c r="C72" s="135"/>
      <c r="D72" s="302">
        <f t="shared" si="1"/>
        <v>0</v>
      </c>
      <c r="F72" s="131"/>
      <c r="G72" s="131"/>
      <c r="H72" s="75"/>
    </row>
    <row r="73" spans="1:8" x14ac:dyDescent="0.25">
      <c r="A73" s="133"/>
      <c r="B73" s="135"/>
      <c r="C73" s="135"/>
      <c r="D73" s="302">
        <f t="shared" si="1"/>
        <v>0</v>
      </c>
      <c r="F73" s="131"/>
      <c r="G73" s="131"/>
      <c r="H73" s="75"/>
    </row>
    <row r="74" spans="1:8" x14ac:dyDescent="0.25">
      <c r="A74" s="133"/>
      <c r="B74" s="135"/>
      <c r="C74" s="135"/>
      <c r="D74" s="302">
        <f t="shared" si="1"/>
        <v>0</v>
      </c>
      <c r="F74" s="131"/>
      <c r="G74" s="131"/>
      <c r="H74" s="75"/>
    </row>
    <row r="75" spans="1:8" x14ac:dyDescent="0.25">
      <c r="A75" s="133"/>
      <c r="B75" s="135"/>
      <c r="C75" s="135"/>
      <c r="D75" s="302">
        <f t="shared" si="1"/>
        <v>0</v>
      </c>
      <c r="F75" s="131"/>
      <c r="G75" s="131"/>
      <c r="H75" s="75"/>
    </row>
    <row r="76" spans="1:8" x14ac:dyDescent="0.25">
      <c r="A76" s="133"/>
      <c r="B76" s="135"/>
      <c r="C76" s="135"/>
      <c r="D76" s="302">
        <f t="shared" si="1"/>
        <v>0</v>
      </c>
      <c r="F76" s="131"/>
      <c r="G76" s="131"/>
      <c r="H76" s="75"/>
    </row>
    <row r="77" spans="1:8" x14ac:dyDescent="0.25">
      <c r="A77" s="133"/>
      <c r="B77" s="135"/>
      <c r="C77" s="135"/>
      <c r="D77" s="302">
        <f t="shared" si="1"/>
        <v>0</v>
      </c>
      <c r="F77" s="131"/>
      <c r="G77" s="131"/>
      <c r="H77" s="75"/>
    </row>
    <row r="78" spans="1:8" x14ac:dyDescent="0.25">
      <c r="A78" s="133"/>
      <c r="B78" s="135"/>
      <c r="C78" s="135"/>
      <c r="D78" s="302">
        <f t="shared" si="1"/>
        <v>0</v>
      </c>
      <c r="F78" s="131"/>
      <c r="G78" s="131"/>
      <c r="H78" s="75"/>
    </row>
    <row r="79" spans="1:8" x14ac:dyDescent="0.25">
      <c r="A79" s="133"/>
      <c r="B79" s="135"/>
      <c r="C79" s="135"/>
      <c r="D79" s="302">
        <f t="shared" si="1"/>
        <v>0</v>
      </c>
      <c r="F79" s="131"/>
      <c r="G79" s="131"/>
      <c r="H79" s="75"/>
    </row>
    <row r="80" spans="1:8" x14ac:dyDescent="0.25">
      <c r="A80" s="133"/>
      <c r="B80" s="135"/>
      <c r="C80" s="135"/>
      <c r="D80" s="302">
        <f t="shared" si="1"/>
        <v>0</v>
      </c>
      <c r="F80" s="131"/>
      <c r="G80" s="131"/>
      <c r="H80" s="75"/>
    </row>
    <row r="81" spans="1:8" x14ac:dyDescent="0.25">
      <c r="A81" s="133"/>
      <c r="B81" s="135"/>
      <c r="C81" s="135"/>
      <c r="D81" s="302">
        <f t="shared" si="1"/>
        <v>0</v>
      </c>
      <c r="F81" s="131"/>
      <c r="G81" s="131"/>
      <c r="H81" s="75"/>
    </row>
    <row r="82" spans="1:8" x14ac:dyDescent="0.25">
      <c r="A82" s="133"/>
      <c r="B82" s="135"/>
      <c r="C82" s="135"/>
      <c r="D82" s="302">
        <f t="shared" si="1"/>
        <v>0</v>
      </c>
      <c r="F82" s="131"/>
      <c r="G82" s="131"/>
      <c r="H82" s="75"/>
    </row>
    <row r="83" spans="1:8" x14ac:dyDescent="0.25">
      <c r="A83" s="133"/>
      <c r="B83" s="135"/>
      <c r="C83" s="135"/>
      <c r="D83" s="302">
        <f t="shared" si="1"/>
        <v>0</v>
      </c>
      <c r="F83" s="131"/>
      <c r="G83" s="131"/>
      <c r="H83" s="75"/>
    </row>
    <row r="84" spans="1:8" x14ac:dyDescent="0.25">
      <c r="A84" s="133"/>
      <c r="B84" s="135"/>
      <c r="C84" s="135"/>
      <c r="D84" s="302">
        <f t="shared" si="1"/>
        <v>0</v>
      </c>
      <c r="F84" s="131"/>
      <c r="G84" s="131"/>
      <c r="H84" s="75"/>
    </row>
    <row r="85" spans="1:8" x14ac:dyDescent="0.25">
      <c r="A85" s="133"/>
      <c r="B85" s="135"/>
      <c r="C85" s="135"/>
      <c r="D85" s="302">
        <f t="shared" si="1"/>
        <v>0</v>
      </c>
      <c r="F85" s="131"/>
      <c r="G85" s="131"/>
      <c r="H85" s="75"/>
    </row>
    <row r="86" spans="1:8" x14ac:dyDescent="0.25">
      <c r="A86" s="133"/>
      <c r="B86" s="135"/>
      <c r="C86" s="135"/>
      <c r="D86" s="302">
        <f t="shared" si="1"/>
        <v>0</v>
      </c>
      <c r="F86" s="131"/>
      <c r="G86" s="131"/>
      <c r="H86" s="75"/>
    </row>
    <row r="87" spans="1:8" x14ac:dyDescent="0.25">
      <c r="A87" s="133"/>
      <c r="B87" s="135"/>
      <c r="C87" s="135"/>
      <c r="D87" s="302">
        <f t="shared" si="1"/>
        <v>0</v>
      </c>
      <c r="F87" s="131"/>
      <c r="G87" s="131"/>
      <c r="H87" s="75"/>
    </row>
    <row r="88" spans="1:8" x14ac:dyDescent="0.25">
      <c r="A88" s="133"/>
      <c r="B88" s="135"/>
      <c r="C88" s="135"/>
      <c r="D88" s="302">
        <f t="shared" si="1"/>
        <v>0</v>
      </c>
      <c r="F88" s="131"/>
      <c r="G88" s="131"/>
      <c r="H88" s="75"/>
    </row>
    <row r="89" spans="1:8" x14ac:dyDescent="0.25">
      <c r="A89" s="133"/>
      <c r="B89" s="135"/>
      <c r="C89" s="135"/>
      <c r="D89" s="302">
        <f t="shared" si="1"/>
        <v>0</v>
      </c>
      <c r="F89" s="131"/>
      <c r="G89" s="131"/>
      <c r="H89" s="75"/>
    </row>
    <row r="90" spans="1:8" x14ac:dyDescent="0.25">
      <c r="A90" s="133"/>
      <c r="B90" s="135"/>
      <c r="C90" s="135"/>
      <c r="D90" s="302">
        <f t="shared" si="1"/>
        <v>0</v>
      </c>
      <c r="F90" s="131"/>
      <c r="G90" s="131"/>
      <c r="H90" s="75"/>
    </row>
    <row r="91" spans="1:8" x14ac:dyDescent="0.25">
      <c r="A91" s="133"/>
      <c r="B91" s="135"/>
      <c r="C91" s="135"/>
      <c r="D91" s="302">
        <f t="shared" si="1"/>
        <v>0</v>
      </c>
      <c r="F91" s="131"/>
      <c r="G91" s="131"/>
      <c r="H91" s="75"/>
    </row>
    <row r="92" spans="1:8" x14ac:dyDescent="0.25">
      <c r="A92" s="133"/>
      <c r="B92" s="135"/>
      <c r="C92" s="135"/>
      <c r="D92" s="302">
        <f t="shared" si="1"/>
        <v>0</v>
      </c>
      <c r="F92" s="131"/>
      <c r="G92" s="131"/>
      <c r="H92" s="75"/>
    </row>
    <row r="93" spans="1:8" x14ac:dyDescent="0.25">
      <c r="A93" s="133"/>
      <c r="B93" s="135"/>
      <c r="C93" s="135"/>
      <c r="D93" s="302">
        <f t="shared" si="1"/>
        <v>0</v>
      </c>
      <c r="F93" s="131"/>
      <c r="G93" s="131"/>
      <c r="H93" s="75"/>
    </row>
    <row r="94" spans="1:8" x14ac:dyDescent="0.25">
      <c r="A94" s="133"/>
      <c r="B94" s="135"/>
      <c r="C94" s="135"/>
      <c r="D94" s="302">
        <f t="shared" si="1"/>
        <v>0</v>
      </c>
      <c r="F94" s="131"/>
      <c r="G94" s="131"/>
      <c r="H94" s="75"/>
    </row>
    <row r="95" spans="1:8" x14ac:dyDescent="0.25">
      <c r="A95" s="133"/>
      <c r="B95" s="135"/>
      <c r="C95" s="135"/>
      <c r="D95" s="302">
        <f t="shared" si="1"/>
        <v>0</v>
      </c>
      <c r="F95" s="131"/>
      <c r="G95" s="131"/>
      <c r="H95" s="75"/>
    </row>
    <row r="96" spans="1:8" x14ac:dyDescent="0.25">
      <c r="A96" s="133"/>
      <c r="B96" s="135"/>
      <c r="C96" s="135"/>
      <c r="D96" s="302">
        <f t="shared" si="1"/>
        <v>0</v>
      </c>
      <c r="F96" s="131"/>
      <c r="G96" s="131"/>
      <c r="H96" s="75"/>
    </row>
    <row r="97" spans="1:9" x14ac:dyDescent="0.25">
      <c r="A97" s="133"/>
      <c r="B97" s="135"/>
      <c r="C97" s="135"/>
      <c r="D97" s="302">
        <f t="shared" si="1"/>
        <v>0</v>
      </c>
      <c r="F97" s="131"/>
      <c r="G97" s="131"/>
      <c r="H97" s="75"/>
    </row>
    <row r="98" spans="1:9" x14ac:dyDescent="0.25">
      <c r="A98" s="133"/>
      <c r="B98" s="135"/>
      <c r="C98" s="135"/>
      <c r="D98" s="302">
        <f t="shared" si="1"/>
        <v>0</v>
      </c>
      <c r="F98" s="131"/>
      <c r="G98" s="131"/>
      <c r="H98" s="75"/>
    </row>
    <row r="99" spans="1:9" x14ac:dyDescent="0.25">
      <c r="A99" s="133"/>
      <c r="B99" s="135"/>
      <c r="C99" s="135"/>
      <c r="D99" s="302">
        <f t="shared" si="1"/>
        <v>0</v>
      </c>
      <c r="F99" s="131"/>
      <c r="G99" s="131"/>
      <c r="H99" s="75"/>
    </row>
    <row r="100" spans="1:9" x14ac:dyDescent="0.25">
      <c r="A100" s="133"/>
      <c r="B100" s="135"/>
      <c r="C100" s="135"/>
      <c r="D100" s="302">
        <f t="shared" si="1"/>
        <v>0</v>
      </c>
      <c r="F100" s="131"/>
      <c r="G100" s="131"/>
      <c r="H100" s="75"/>
    </row>
    <row r="101" spans="1:9" x14ac:dyDescent="0.25">
      <c r="A101" s="133"/>
      <c r="B101" s="135"/>
      <c r="C101" s="135"/>
      <c r="D101" s="302">
        <f t="shared" si="1"/>
        <v>0</v>
      </c>
      <c r="F101" s="131"/>
      <c r="G101" s="131"/>
      <c r="H101" s="75"/>
    </row>
    <row r="102" spans="1:9" x14ac:dyDescent="0.25">
      <c r="A102" s="133"/>
      <c r="B102" s="135"/>
      <c r="C102" s="135"/>
      <c r="D102" s="302">
        <f t="shared" si="1"/>
        <v>0</v>
      </c>
      <c r="F102" s="131"/>
      <c r="G102" s="131"/>
      <c r="H102" s="75"/>
    </row>
    <row r="103" spans="1:9" x14ac:dyDescent="0.25">
      <c r="A103" s="133"/>
      <c r="B103" s="135"/>
      <c r="C103" s="135"/>
      <c r="D103" s="302">
        <f t="shared" si="1"/>
        <v>0</v>
      </c>
      <c r="F103" s="131"/>
      <c r="G103" s="131"/>
      <c r="H103" s="75"/>
    </row>
    <row r="104" spans="1:9" x14ac:dyDescent="0.25">
      <c r="A104" s="133"/>
      <c r="B104" s="135"/>
      <c r="C104" s="135"/>
      <c r="D104" s="302">
        <f t="shared" si="1"/>
        <v>0</v>
      </c>
      <c r="F104" s="131"/>
      <c r="G104" s="131"/>
      <c r="H104" s="75"/>
    </row>
    <row r="105" spans="1:9" x14ac:dyDescent="0.25">
      <c r="A105" s="133"/>
      <c r="B105" s="135"/>
      <c r="C105" s="135"/>
      <c r="D105" s="302">
        <f t="shared" si="1"/>
        <v>0</v>
      </c>
      <c r="F105" s="131"/>
      <c r="G105" s="131"/>
      <c r="H105" s="75"/>
    </row>
    <row r="106" spans="1:9" x14ac:dyDescent="0.25">
      <c r="A106" s="133"/>
      <c r="B106" s="135"/>
      <c r="C106" s="135"/>
      <c r="D106" s="302">
        <f t="shared" si="1"/>
        <v>0</v>
      </c>
      <c r="F106" s="131" t="e">
        <f ca="1">IF(#REF!="LT",B106*#REF!-#REF!*B106*INDIRECT("'Cost Inflation Index'!C"&amp;ROWS(CostInflationTable[#All]))/VLOOKUP(I106,CostInflationTable[[#All],[Yr begin]:[CII]],2,0),0)</f>
        <v>#REF!</v>
      </c>
      <c r="G106" s="131" t="e">
        <f>IF(#REF!="ST",#REF!*B106-#REF!*B106,0)</f>
        <v>#REF!</v>
      </c>
      <c r="H106" s="75" t="e">
        <f>MAX(#REF!,#REF!)</f>
        <v>#REF!</v>
      </c>
      <c r="I106" s="72" t="e">
        <f>TEXT(YEAR(#REF!)-IF(MONTH(#REF!)&lt;4,1,0),"0")</f>
        <v>#REF!</v>
      </c>
    </row>
    <row r="107" spans="1:9" x14ac:dyDescent="0.25">
      <c r="A107" s="133"/>
      <c r="B107" s="135"/>
      <c r="C107" s="135"/>
      <c r="D107" s="302">
        <f t="shared" si="1"/>
        <v>0</v>
      </c>
      <c r="F107" s="131" t="e">
        <f ca="1">IF(#REF!="LT",B107*#REF!-#REF!*B107*INDIRECT("'Cost Inflation Index'!C"&amp;ROWS(CostInflationTable[#All]))/VLOOKUP(I107,CostInflationTable[[#All],[Yr begin]:[CII]],2,0),0)</f>
        <v>#REF!</v>
      </c>
      <c r="G107" s="131" t="e">
        <f>IF(#REF!="ST",#REF!*B107-#REF!*B107,0)</f>
        <v>#REF!</v>
      </c>
      <c r="H107" s="75" t="e">
        <f>MAX(#REF!,#REF!)</f>
        <v>#REF!</v>
      </c>
      <c r="I107" s="72" t="e">
        <f>TEXT(YEAR(#REF!)-IF(MONTH(#REF!)&lt;4,1,0),"0")</f>
        <v>#REF!</v>
      </c>
    </row>
    <row r="108" spans="1:9" x14ac:dyDescent="0.25">
      <c r="A108" s="133"/>
      <c r="B108" s="135"/>
      <c r="C108" s="135"/>
      <c r="D108" s="302">
        <f t="shared" si="1"/>
        <v>0</v>
      </c>
      <c r="F108" s="131" t="e">
        <f ca="1">IF(#REF!="LT",B108*#REF!-#REF!*B108*INDIRECT("'Cost Inflation Index'!C"&amp;ROWS(CostInflationTable[#All]))/VLOOKUP(I108,CostInflationTable[[#All],[Yr begin]:[CII]],2,0),0)</f>
        <v>#REF!</v>
      </c>
      <c r="G108" s="131" t="e">
        <f>IF(#REF!="ST",#REF!*B108-#REF!*B108,0)</f>
        <v>#REF!</v>
      </c>
      <c r="H108" s="75" t="e">
        <f>MAX(#REF!,#REF!)</f>
        <v>#REF!</v>
      </c>
      <c r="I108" s="72" t="e">
        <f>TEXT(YEAR(#REF!)-IF(MONTH(#REF!)&lt;4,1,0),"0")</f>
        <v>#REF!</v>
      </c>
    </row>
    <row r="109" spans="1:9" x14ac:dyDescent="0.25">
      <c r="A109" s="133"/>
      <c r="B109" s="135"/>
      <c r="C109" s="135"/>
      <c r="D109" s="302">
        <f t="shared" si="1"/>
        <v>0</v>
      </c>
      <c r="F109" s="131" t="e">
        <f ca="1">IF(#REF!="LT",B109*#REF!-#REF!*B109*INDIRECT("'Cost Inflation Index'!C"&amp;ROWS(CostInflationTable[#All]))/VLOOKUP(I109,CostInflationTable[[#All],[Yr begin]:[CII]],2,0),0)</f>
        <v>#REF!</v>
      </c>
      <c r="G109" s="131" t="e">
        <f>IF(#REF!="ST",#REF!*B109-#REF!*B109,0)</f>
        <v>#REF!</v>
      </c>
      <c r="H109" s="75" t="e">
        <f>MAX(#REF!,#REF!)</f>
        <v>#REF!</v>
      </c>
      <c r="I109" s="72" t="e">
        <f>TEXT(YEAR(#REF!)-IF(MONTH(#REF!)&lt;4,1,0),"0")</f>
        <v>#REF!</v>
      </c>
    </row>
    <row r="110" spans="1:9" x14ac:dyDescent="0.25">
      <c r="A110" s="133"/>
      <c r="B110" s="135"/>
      <c r="C110" s="135"/>
      <c r="D110" s="302">
        <f t="shared" si="1"/>
        <v>0</v>
      </c>
      <c r="F110" s="131" t="e">
        <f ca="1">IF(#REF!="LT",B110*#REF!-#REF!*B110*INDIRECT("'Cost Inflation Index'!C"&amp;ROWS(CostInflationTable[#All]))/VLOOKUP(I110,CostInflationTable[[#All],[Yr begin]:[CII]],2,0),0)</f>
        <v>#REF!</v>
      </c>
      <c r="G110" s="131" t="e">
        <f>IF(#REF!="ST",#REF!*B110-#REF!*B110,0)</f>
        <v>#REF!</v>
      </c>
      <c r="H110" s="75" t="e">
        <f>MAX(#REF!,#REF!)</f>
        <v>#REF!</v>
      </c>
      <c r="I110" s="72" t="e">
        <f>TEXT(YEAR(#REF!)-IF(MONTH(#REF!)&lt;4,1,0),"0")</f>
        <v>#REF!</v>
      </c>
    </row>
    <row r="111" spans="1:9" x14ac:dyDescent="0.25">
      <c r="A111" s="133"/>
      <c r="B111" s="135"/>
      <c r="C111" s="135"/>
      <c r="D111" s="302">
        <f t="shared" si="1"/>
        <v>0</v>
      </c>
      <c r="F111" s="131" t="e">
        <f ca="1">IF(#REF!="LT",B111*#REF!-#REF!*B111*INDIRECT("'Cost Inflation Index'!C"&amp;ROWS(CostInflationTable[#All]))/VLOOKUP(I111,CostInflationTable[[#All],[Yr begin]:[CII]],2,0),0)</f>
        <v>#REF!</v>
      </c>
      <c r="G111" s="131" t="e">
        <f>IF(#REF!="ST",#REF!*B111-#REF!*B111,0)</f>
        <v>#REF!</v>
      </c>
      <c r="H111" s="75" t="e">
        <f>MAX(#REF!,#REF!)</f>
        <v>#REF!</v>
      </c>
      <c r="I111" s="72" t="e">
        <f>TEXT(YEAR(#REF!)-IF(MONTH(#REF!)&lt;4,1,0),"0")</f>
        <v>#REF!</v>
      </c>
    </row>
    <row r="112" spans="1:9" x14ac:dyDescent="0.25">
      <c r="A112" s="133"/>
      <c r="B112" s="135"/>
      <c r="C112" s="135"/>
      <c r="D112" s="302">
        <f t="shared" si="1"/>
        <v>0</v>
      </c>
      <c r="F112" s="131" t="e">
        <f ca="1">IF(#REF!="LT",B112*#REF!-#REF!*B112*INDIRECT("'Cost Inflation Index'!C"&amp;ROWS(CostInflationTable[#All]))/VLOOKUP(I112,CostInflationTable[[#All],[Yr begin]:[CII]],2,0),0)</f>
        <v>#REF!</v>
      </c>
      <c r="G112" s="131" t="e">
        <f>IF(#REF!="ST",#REF!*B112-#REF!*B112,0)</f>
        <v>#REF!</v>
      </c>
      <c r="H112" s="75" t="e">
        <f>MAX(#REF!,#REF!)</f>
        <v>#REF!</v>
      </c>
      <c r="I112" s="72" t="e">
        <f>TEXT(YEAR(#REF!)-IF(MONTH(#REF!)&lt;4,1,0),"0")</f>
        <v>#REF!</v>
      </c>
    </row>
    <row r="113" spans="1:9" x14ac:dyDescent="0.25">
      <c r="A113" s="133"/>
      <c r="B113" s="135"/>
      <c r="C113" s="135"/>
      <c r="D113" s="302">
        <f t="shared" si="1"/>
        <v>0</v>
      </c>
      <c r="F113" s="131" t="e">
        <f ca="1">IF(#REF!="LT",B113*#REF!-#REF!*B113*INDIRECT("'Cost Inflation Index'!C"&amp;ROWS(CostInflationTable[#All]))/VLOOKUP(I113,CostInflationTable[[#All],[Yr begin]:[CII]],2,0),0)</f>
        <v>#REF!</v>
      </c>
      <c r="G113" s="131" t="e">
        <f>IF(#REF!="ST",#REF!*B113-#REF!*B113,0)</f>
        <v>#REF!</v>
      </c>
      <c r="H113" s="75" t="e">
        <f>MAX(#REF!,#REF!)</f>
        <v>#REF!</v>
      </c>
      <c r="I113" s="72" t="e">
        <f>TEXT(YEAR(#REF!)-IF(MONTH(#REF!)&lt;4,1,0),"0")</f>
        <v>#REF!</v>
      </c>
    </row>
    <row r="114" spans="1:9" x14ac:dyDescent="0.25">
      <c r="A114" s="133"/>
      <c r="B114" s="135"/>
      <c r="C114" s="135"/>
      <c r="D114" s="302">
        <f t="shared" si="1"/>
        <v>0</v>
      </c>
      <c r="F114" s="131" t="e">
        <f ca="1">IF(#REF!="LT",B114*#REF!-#REF!*B114*INDIRECT("'Cost Inflation Index'!C"&amp;ROWS(CostInflationTable[#All]))/VLOOKUP(I114,CostInflationTable[[#All],[Yr begin]:[CII]],2,0),0)</f>
        <v>#REF!</v>
      </c>
      <c r="G114" s="131" t="e">
        <f>IF(#REF!="ST",#REF!*B114-#REF!*B114,0)</f>
        <v>#REF!</v>
      </c>
      <c r="H114" s="75" t="e">
        <f>MAX(#REF!,#REF!)</f>
        <v>#REF!</v>
      </c>
      <c r="I114" s="72" t="e">
        <f>TEXT(YEAR(#REF!)-IF(MONTH(#REF!)&lt;4,1,0),"0")</f>
        <v>#REF!</v>
      </c>
    </row>
    <row r="115" spans="1:9" x14ac:dyDescent="0.25">
      <c r="A115" s="133"/>
      <c r="B115" s="135"/>
      <c r="C115" s="135"/>
      <c r="D115" s="302">
        <f t="shared" si="1"/>
        <v>0</v>
      </c>
      <c r="F115" s="131" t="e">
        <f ca="1">IF(#REF!="LT",B115*#REF!-#REF!*B115*INDIRECT("'Cost Inflation Index'!C"&amp;ROWS(CostInflationTable[#All]))/VLOOKUP(I115,CostInflationTable[[#All],[Yr begin]:[CII]],2,0),0)</f>
        <v>#REF!</v>
      </c>
      <c r="G115" s="131" t="e">
        <f>IF(#REF!="ST",#REF!*B115-#REF!*B115,0)</f>
        <v>#REF!</v>
      </c>
      <c r="H115" s="75" t="e">
        <f>MAX(#REF!,#REF!)</f>
        <v>#REF!</v>
      </c>
      <c r="I115" s="72" t="e">
        <f>TEXT(YEAR(#REF!)-IF(MONTH(#REF!)&lt;4,1,0),"0")</f>
        <v>#REF!</v>
      </c>
    </row>
    <row r="116" spans="1:9" x14ac:dyDescent="0.25">
      <c r="A116" s="133"/>
      <c r="B116" s="135"/>
      <c r="C116" s="135"/>
      <c r="D116" s="302">
        <f t="shared" si="1"/>
        <v>0</v>
      </c>
      <c r="F116" s="131" t="e">
        <f ca="1">IF(#REF!="LT",B116*#REF!-#REF!*B116*INDIRECT("'Cost Inflation Index'!C"&amp;ROWS(CostInflationTable[#All]))/VLOOKUP(I116,CostInflationTable[[#All],[Yr begin]:[CII]],2,0),0)</f>
        <v>#REF!</v>
      </c>
      <c r="G116" s="131" t="e">
        <f>IF(#REF!="ST",#REF!*B116-#REF!*B116,0)</f>
        <v>#REF!</v>
      </c>
      <c r="H116" s="75" t="e">
        <f>MAX(#REF!,#REF!)</f>
        <v>#REF!</v>
      </c>
      <c r="I116" s="72" t="e">
        <f>TEXT(YEAR(#REF!)-IF(MONTH(#REF!)&lt;4,1,0),"0")</f>
        <v>#REF!</v>
      </c>
    </row>
    <row r="117" spans="1:9" x14ac:dyDescent="0.25">
      <c r="A117" s="133"/>
      <c r="B117" s="135"/>
      <c r="C117" s="135"/>
      <c r="D117" s="302">
        <f t="shared" si="1"/>
        <v>0</v>
      </c>
      <c r="F117" s="131" t="e">
        <f ca="1">IF(#REF!="LT",B117*#REF!-#REF!*B117*INDIRECT("'Cost Inflation Index'!C"&amp;ROWS(CostInflationTable[#All]))/VLOOKUP(I117,CostInflationTable[[#All],[Yr begin]:[CII]],2,0),0)</f>
        <v>#REF!</v>
      </c>
      <c r="G117" s="131" t="e">
        <f>IF(#REF!="ST",#REF!*B117-#REF!*B117,0)</f>
        <v>#REF!</v>
      </c>
      <c r="H117" s="75" t="e">
        <f>MAX(#REF!,#REF!)</f>
        <v>#REF!</v>
      </c>
      <c r="I117" s="72" t="e">
        <f>TEXT(YEAR(#REF!)-IF(MONTH(#REF!)&lt;4,1,0),"0")</f>
        <v>#REF!</v>
      </c>
    </row>
    <row r="118" spans="1:9" x14ac:dyDescent="0.25">
      <c r="A118" s="133"/>
      <c r="B118" s="135"/>
      <c r="C118" s="135"/>
      <c r="D118" s="302">
        <f t="shared" si="1"/>
        <v>0</v>
      </c>
      <c r="F118" s="131" t="e">
        <f ca="1">IF(#REF!="LT",B118*#REF!-#REF!*B118*INDIRECT("'Cost Inflation Index'!C"&amp;ROWS(CostInflationTable[#All]))/VLOOKUP(I118,CostInflationTable[[#All],[Yr begin]:[CII]],2,0),0)</f>
        <v>#REF!</v>
      </c>
      <c r="G118" s="131" t="e">
        <f>IF(#REF!="ST",#REF!*B118-#REF!*B118,0)</f>
        <v>#REF!</v>
      </c>
      <c r="H118" s="75" t="e">
        <f>MAX(#REF!,#REF!)</f>
        <v>#REF!</v>
      </c>
      <c r="I118" s="72" t="e">
        <f>TEXT(YEAR(#REF!)-IF(MONTH(#REF!)&lt;4,1,0),"0")</f>
        <v>#REF!</v>
      </c>
    </row>
    <row r="119" spans="1:9" x14ac:dyDescent="0.25">
      <c r="A119" s="133"/>
      <c r="B119" s="135"/>
      <c r="C119" s="135"/>
      <c r="D119" s="302">
        <f t="shared" si="1"/>
        <v>0</v>
      </c>
      <c r="F119" s="131" t="e">
        <f ca="1">IF(#REF!="LT",B119*#REF!-#REF!*B119*INDIRECT("'Cost Inflation Index'!C"&amp;ROWS(CostInflationTable[#All]))/VLOOKUP(I119,CostInflationTable[[#All],[Yr begin]:[CII]],2,0),0)</f>
        <v>#REF!</v>
      </c>
      <c r="G119" s="131" t="e">
        <f>IF(#REF!="ST",#REF!*B119-#REF!*B119,0)</f>
        <v>#REF!</v>
      </c>
      <c r="H119" s="75" t="e">
        <f>MAX(#REF!,#REF!)</f>
        <v>#REF!</v>
      </c>
      <c r="I119" s="72" t="e">
        <f>TEXT(YEAR(#REF!)-IF(MONTH(#REF!)&lt;4,1,0),"0")</f>
        <v>#REF!</v>
      </c>
    </row>
    <row r="120" spans="1:9" x14ac:dyDescent="0.25">
      <c r="A120" s="133"/>
      <c r="B120" s="135"/>
      <c r="C120" s="135"/>
      <c r="D120" s="302">
        <f t="shared" si="1"/>
        <v>0</v>
      </c>
      <c r="F120" s="131" t="e">
        <f ca="1">IF(#REF!="LT",B120*#REF!-#REF!*B120*INDIRECT("'Cost Inflation Index'!C"&amp;ROWS(CostInflationTable[#All]))/VLOOKUP(I120,CostInflationTable[[#All],[Yr begin]:[CII]],2,0),0)</f>
        <v>#REF!</v>
      </c>
      <c r="G120" s="131" t="e">
        <f>IF(#REF!="ST",#REF!*B120-#REF!*B120,0)</f>
        <v>#REF!</v>
      </c>
      <c r="H120" s="75" t="e">
        <f>MAX(#REF!,#REF!)</f>
        <v>#REF!</v>
      </c>
      <c r="I120" s="72" t="e">
        <f>TEXT(YEAR(#REF!)-IF(MONTH(#REF!)&lt;4,1,0),"0")</f>
        <v>#REF!</v>
      </c>
    </row>
    <row r="121" spans="1:9" x14ac:dyDescent="0.25">
      <c r="A121" s="133"/>
      <c r="B121" s="135"/>
      <c r="C121" s="135"/>
      <c r="D121" s="302">
        <f t="shared" si="1"/>
        <v>0</v>
      </c>
      <c r="F121" s="131" t="e">
        <f ca="1">IF(#REF!="LT",B121*#REF!-#REF!*B121*INDIRECT("'Cost Inflation Index'!C"&amp;ROWS(CostInflationTable[#All]))/VLOOKUP(I121,CostInflationTable[[#All],[Yr begin]:[CII]],2,0),0)</f>
        <v>#REF!</v>
      </c>
      <c r="G121" s="131" t="e">
        <f>IF(#REF!="ST",#REF!*B121-#REF!*B121,0)</f>
        <v>#REF!</v>
      </c>
      <c r="H121" s="75" t="e">
        <f>MAX(#REF!,#REF!)</f>
        <v>#REF!</v>
      </c>
      <c r="I121" s="72" t="e">
        <f>TEXT(YEAR(#REF!)-IF(MONTH(#REF!)&lt;4,1,0),"0")</f>
        <v>#REF!</v>
      </c>
    </row>
    <row r="122" spans="1:9" x14ac:dyDescent="0.25">
      <c r="A122" s="133"/>
      <c r="B122" s="135"/>
      <c r="C122" s="135"/>
      <c r="D122" s="302">
        <f t="shared" si="1"/>
        <v>0</v>
      </c>
      <c r="F122" s="131" t="e">
        <f ca="1">IF(#REF!="LT",B122*#REF!-#REF!*B122*INDIRECT("'Cost Inflation Index'!C"&amp;ROWS(CostInflationTable[#All]))/VLOOKUP(I122,CostInflationTable[[#All],[Yr begin]:[CII]],2,0),0)</f>
        <v>#REF!</v>
      </c>
      <c r="G122" s="131" t="e">
        <f>IF(#REF!="ST",#REF!*B122-#REF!*B122,0)</f>
        <v>#REF!</v>
      </c>
      <c r="H122" s="75" t="e">
        <f>MAX(#REF!,#REF!)</f>
        <v>#REF!</v>
      </c>
      <c r="I122" s="72" t="e">
        <f>TEXT(YEAR(#REF!)-IF(MONTH(#REF!)&lt;4,1,0),"0")</f>
        <v>#REF!</v>
      </c>
    </row>
    <row r="123" spans="1:9" x14ac:dyDescent="0.25">
      <c r="A123" s="133"/>
      <c r="B123" s="135"/>
      <c r="C123" s="135"/>
      <c r="D123" s="302">
        <f t="shared" si="1"/>
        <v>0</v>
      </c>
      <c r="F123" s="131" t="e">
        <f ca="1">IF(#REF!="LT",B123*#REF!-#REF!*B123*INDIRECT("'Cost Inflation Index'!C"&amp;ROWS(CostInflationTable[#All]))/VLOOKUP(I123,CostInflationTable[[#All],[Yr begin]:[CII]],2,0),0)</f>
        <v>#REF!</v>
      </c>
      <c r="G123" s="131" t="e">
        <f>IF(#REF!="ST",#REF!*B123-#REF!*B123,0)</f>
        <v>#REF!</v>
      </c>
      <c r="H123" s="75" t="e">
        <f>MAX(#REF!,#REF!)</f>
        <v>#REF!</v>
      </c>
      <c r="I123" s="72" t="e">
        <f>TEXT(YEAR(#REF!)-IF(MONTH(#REF!)&lt;4,1,0),"0")</f>
        <v>#REF!</v>
      </c>
    </row>
    <row r="124" spans="1:9" x14ac:dyDescent="0.25">
      <c r="A124" s="133"/>
      <c r="B124" s="135"/>
      <c r="C124" s="135"/>
      <c r="D124" s="302">
        <f t="shared" si="1"/>
        <v>0</v>
      </c>
      <c r="F124" s="131" t="e">
        <f ca="1">IF(#REF!="LT",B124*#REF!-#REF!*B124*INDIRECT("'Cost Inflation Index'!C"&amp;ROWS(CostInflationTable[#All]))/VLOOKUP(I124,CostInflationTable[[#All],[Yr begin]:[CII]],2,0),0)</f>
        <v>#REF!</v>
      </c>
      <c r="G124" s="131" t="e">
        <f>IF(#REF!="ST",#REF!*B124-#REF!*B124,0)</f>
        <v>#REF!</v>
      </c>
      <c r="H124" s="75" t="e">
        <f>MAX(#REF!,#REF!)</f>
        <v>#REF!</v>
      </c>
      <c r="I124" s="72" t="e">
        <f>TEXT(YEAR(#REF!)-IF(MONTH(#REF!)&lt;4,1,0),"0")</f>
        <v>#REF!</v>
      </c>
    </row>
    <row r="125" spans="1:9" x14ac:dyDescent="0.25">
      <c r="A125" s="133"/>
      <c r="B125" s="135"/>
      <c r="C125" s="135"/>
      <c r="D125" s="302">
        <f t="shared" si="1"/>
        <v>0</v>
      </c>
      <c r="F125" s="131" t="e">
        <f ca="1">IF(#REF!="LT",B125*#REF!-#REF!*B125*INDIRECT("'Cost Inflation Index'!C"&amp;ROWS(CostInflationTable[#All]))/VLOOKUP(I125,CostInflationTable[[#All],[Yr begin]:[CII]],2,0),0)</f>
        <v>#REF!</v>
      </c>
      <c r="G125" s="131" t="e">
        <f>IF(#REF!="ST",#REF!*B125-#REF!*B125,0)</f>
        <v>#REF!</v>
      </c>
      <c r="H125" s="75" t="e">
        <f>MAX(#REF!,#REF!)</f>
        <v>#REF!</v>
      </c>
      <c r="I125" s="72" t="e">
        <f>TEXT(YEAR(#REF!)-IF(MONTH(#REF!)&lt;4,1,0),"0")</f>
        <v>#REF!</v>
      </c>
    </row>
    <row r="126" spans="1:9" x14ac:dyDescent="0.25">
      <c r="A126" s="133"/>
      <c r="B126" s="135"/>
      <c r="C126" s="135"/>
      <c r="D126" s="302">
        <f t="shared" si="1"/>
        <v>0</v>
      </c>
      <c r="F126" s="131" t="e">
        <f ca="1">IF(#REF!="LT",B126*#REF!-#REF!*B126*INDIRECT("'Cost Inflation Index'!C"&amp;ROWS(CostInflationTable[#All]))/VLOOKUP(I126,CostInflationTable[[#All],[Yr begin]:[CII]],2,0),0)</f>
        <v>#REF!</v>
      </c>
      <c r="G126" s="131" t="e">
        <f>IF(#REF!="ST",#REF!*B126-#REF!*B126,0)</f>
        <v>#REF!</v>
      </c>
      <c r="H126" s="75" t="e">
        <f>MAX(#REF!,#REF!)</f>
        <v>#REF!</v>
      </c>
      <c r="I126" s="72" t="e">
        <f>TEXT(YEAR(#REF!)-IF(MONTH(#REF!)&lt;4,1,0),"0")</f>
        <v>#REF!</v>
      </c>
    </row>
    <row r="127" spans="1:9" x14ac:dyDescent="0.25">
      <c r="A127" s="133"/>
      <c r="B127" s="135"/>
      <c r="C127" s="135"/>
      <c r="D127" s="302">
        <f t="shared" si="1"/>
        <v>0</v>
      </c>
      <c r="F127" s="131" t="e">
        <f ca="1">IF(#REF!="LT",B127*#REF!-#REF!*B127*INDIRECT("'Cost Inflation Index'!C"&amp;ROWS(CostInflationTable[#All]))/VLOOKUP(I127,CostInflationTable[[#All],[Yr begin]:[CII]],2,0),0)</f>
        <v>#REF!</v>
      </c>
      <c r="G127" s="131" t="e">
        <f>IF(#REF!="ST",#REF!*B127-#REF!*B127,0)</f>
        <v>#REF!</v>
      </c>
      <c r="H127" s="75" t="e">
        <f>MAX(#REF!,#REF!)</f>
        <v>#REF!</v>
      </c>
      <c r="I127" s="72" t="e">
        <f>TEXT(YEAR(#REF!)-IF(MONTH(#REF!)&lt;4,1,0),"0")</f>
        <v>#REF!</v>
      </c>
    </row>
    <row r="128" spans="1:9" x14ac:dyDescent="0.25">
      <c r="A128" s="133"/>
      <c r="B128" s="135"/>
      <c r="C128" s="135"/>
      <c r="D128" s="302">
        <f t="shared" si="1"/>
        <v>0</v>
      </c>
      <c r="F128" s="131" t="e">
        <f ca="1">IF(#REF!="LT",B128*#REF!-#REF!*B128*INDIRECT("'Cost Inflation Index'!C"&amp;ROWS(CostInflationTable[#All]))/VLOOKUP(I128,CostInflationTable[[#All],[Yr begin]:[CII]],2,0),0)</f>
        <v>#REF!</v>
      </c>
      <c r="G128" s="131" t="e">
        <f>IF(#REF!="ST",#REF!*B128-#REF!*B128,0)</f>
        <v>#REF!</v>
      </c>
      <c r="H128" s="75" t="e">
        <f>MAX(#REF!,#REF!)</f>
        <v>#REF!</v>
      </c>
      <c r="I128" s="72" t="e">
        <f>TEXT(YEAR(#REF!)-IF(MONTH(#REF!)&lt;4,1,0),"0")</f>
        <v>#REF!</v>
      </c>
    </row>
    <row r="129" spans="1:9" x14ac:dyDescent="0.25">
      <c r="A129" s="133"/>
      <c r="B129" s="135"/>
      <c r="C129" s="135"/>
      <c r="D129" s="302">
        <f t="shared" si="1"/>
        <v>0</v>
      </c>
      <c r="F129" s="131" t="e">
        <f ca="1">IF(#REF!="LT",B129*#REF!-#REF!*B129*INDIRECT("'Cost Inflation Index'!C"&amp;ROWS(CostInflationTable[#All]))/VLOOKUP(I129,CostInflationTable[[#All],[Yr begin]:[CII]],2,0),0)</f>
        <v>#REF!</v>
      </c>
      <c r="G129" s="131" t="e">
        <f>IF(#REF!="ST",#REF!*B129-#REF!*B129,0)</f>
        <v>#REF!</v>
      </c>
      <c r="H129" s="75" t="e">
        <f>MAX(#REF!,#REF!)</f>
        <v>#REF!</v>
      </c>
      <c r="I129" s="72" t="e">
        <f>TEXT(YEAR(#REF!)-IF(MONTH(#REF!)&lt;4,1,0),"0")</f>
        <v>#REF!</v>
      </c>
    </row>
    <row r="130" spans="1:9" x14ac:dyDescent="0.25">
      <c r="A130" s="133"/>
      <c r="B130" s="135"/>
      <c r="C130" s="135"/>
      <c r="D130" s="302">
        <f t="shared" si="1"/>
        <v>0</v>
      </c>
      <c r="F130" s="131" t="e">
        <f ca="1">IF(#REF!="LT",B130*#REF!-#REF!*B130*INDIRECT("'Cost Inflation Index'!C"&amp;ROWS(CostInflationTable[#All]))/VLOOKUP(I130,CostInflationTable[[#All],[Yr begin]:[CII]],2,0),0)</f>
        <v>#REF!</v>
      </c>
      <c r="G130" s="131" t="e">
        <f>IF(#REF!="ST",#REF!*B130-#REF!*B130,0)</f>
        <v>#REF!</v>
      </c>
      <c r="H130" s="75" t="e">
        <f>MAX(#REF!,#REF!)</f>
        <v>#REF!</v>
      </c>
      <c r="I130" s="72" t="e">
        <f>TEXT(YEAR(#REF!)-IF(MONTH(#REF!)&lt;4,1,0),"0")</f>
        <v>#REF!</v>
      </c>
    </row>
    <row r="131" spans="1:9" x14ac:dyDescent="0.25">
      <c r="A131" s="133"/>
      <c r="B131" s="135"/>
      <c r="C131" s="135"/>
      <c r="D131" s="302">
        <f t="shared" si="1"/>
        <v>0</v>
      </c>
      <c r="F131" s="131" t="e">
        <f ca="1">IF(#REF!="LT",B131*#REF!-#REF!*B131*INDIRECT("'Cost Inflation Index'!C"&amp;ROWS(CostInflationTable[#All]))/VLOOKUP(I131,CostInflationTable[[#All],[Yr begin]:[CII]],2,0),0)</f>
        <v>#REF!</v>
      </c>
      <c r="G131" s="131" t="e">
        <f>IF(#REF!="ST",#REF!*B131-#REF!*B131,0)</f>
        <v>#REF!</v>
      </c>
      <c r="H131" s="75" t="e">
        <f>MAX(#REF!,#REF!)</f>
        <v>#REF!</v>
      </c>
      <c r="I131" s="72" t="e">
        <f>TEXT(YEAR(#REF!)-IF(MONTH(#REF!)&lt;4,1,0),"0")</f>
        <v>#REF!</v>
      </c>
    </row>
    <row r="132" spans="1:9" x14ac:dyDescent="0.25">
      <c r="A132" s="133"/>
      <c r="B132" s="135"/>
      <c r="C132" s="135"/>
      <c r="D132" s="302">
        <f t="shared" si="1"/>
        <v>0</v>
      </c>
      <c r="F132" s="131" t="e">
        <f ca="1">IF(#REF!="LT",B132*#REF!-#REF!*B132*INDIRECT("'Cost Inflation Index'!C"&amp;ROWS(CostInflationTable[#All]))/VLOOKUP(I132,CostInflationTable[[#All],[Yr begin]:[CII]],2,0),0)</f>
        <v>#REF!</v>
      </c>
      <c r="G132" s="131" t="e">
        <f>IF(#REF!="ST",#REF!*B132-#REF!*B132,0)</f>
        <v>#REF!</v>
      </c>
      <c r="H132" s="75" t="e">
        <f>MAX(#REF!,#REF!)</f>
        <v>#REF!</v>
      </c>
      <c r="I132" s="72" t="e">
        <f>TEXT(YEAR(#REF!)-IF(MONTH(#REF!)&lt;4,1,0),"0")</f>
        <v>#REF!</v>
      </c>
    </row>
    <row r="133" spans="1:9" x14ac:dyDescent="0.25">
      <c r="A133" s="133"/>
      <c r="B133" s="135"/>
      <c r="C133" s="135"/>
      <c r="D133" s="302">
        <f t="shared" si="1"/>
        <v>0</v>
      </c>
      <c r="F133" s="131" t="e">
        <f ca="1">IF(#REF!="LT",B133*#REF!-#REF!*B133*INDIRECT("'Cost Inflation Index'!C"&amp;ROWS(CostInflationTable[#All]))/VLOOKUP(I133,CostInflationTable[[#All],[Yr begin]:[CII]],2,0),0)</f>
        <v>#REF!</v>
      </c>
      <c r="G133" s="131" t="e">
        <f>IF(#REF!="ST",#REF!*B133-#REF!*B133,0)</f>
        <v>#REF!</v>
      </c>
      <c r="H133" s="75" t="e">
        <f>MAX(#REF!,#REF!)</f>
        <v>#REF!</v>
      </c>
      <c r="I133" s="72" t="e">
        <f>TEXT(YEAR(#REF!)-IF(MONTH(#REF!)&lt;4,1,0),"0")</f>
        <v>#REF!</v>
      </c>
    </row>
    <row r="134" spans="1:9" x14ac:dyDescent="0.25">
      <c r="A134" s="133"/>
      <c r="B134" s="135"/>
      <c r="C134" s="135"/>
      <c r="D134" s="302">
        <f t="shared" ref="D134:D197" si="2">SUM(B134:C134)</f>
        <v>0</v>
      </c>
      <c r="F134" s="131" t="e">
        <f ca="1">IF(#REF!="LT",B134*#REF!-#REF!*B134*INDIRECT("'Cost Inflation Index'!C"&amp;ROWS(CostInflationTable[#All]))/VLOOKUP(I134,CostInflationTable[[#All],[Yr begin]:[CII]],2,0),0)</f>
        <v>#REF!</v>
      </c>
      <c r="G134" s="131" t="e">
        <f>IF(#REF!="ST",#REF!*B134-#REF!*B134,0)</f>
        <v>#REF!</v>
      </c>
      <c r="H134" s="75" t="e">
        <f>MAX(#REF!,#REF!)</f>
        <v>#REF!</v>
      </c>
      <c r="I134" s="72" t="e">
        <f>TEXT(YEAR(#REF!)-IF(MONTH(#REF!)&lt;4,1,0),"0")</f>
        <v>#REF!</v>
      </c>
    </row>
    <row r="135" spans="1:9" x14ac:dyDescent="0.25">
      <c r="A135" s="133"/>
      <c r="B135" s="135"/>
      <c r="C135" s="135"/>
      <c r="D135" s="302">
        <f t="shared" si="2"/>
        <v>0</v>
      </c>
      <c r="F135" s="131" t="e">
        <f ca="1">IF(#REF!="LT",B135*#REF!-#REF!*B135*INDIRECT("'Cost Inflation Index'!C"&amp;ROWS(CostInflationTable[#All]))/VLOOKUP(I135,CostInflationTable[[#All],[Yr begin]:[CII]],2,0),0)</f>
        <v>#REF!</v>
      </c>
      <c r="G135" s="131" t="e">
        <f>IF(#REF!="ST",#REF!*B135-#REF!*B135,0)</f>
        <v>#REF!</v>
      </c>
      <c r="H135" s="75" t="e">
        <f>MAX(#REF!,#REF!)</f>
        <v>#REF!</v>
      </c>
      <c r="I135" s="72" t="e">
        <f>TEXT(YEAR(#REF!)-IF(MONTH(#REF!)&lt;4,1,0),"0")</f>
        <v>#REF!</v>
      </c>
    </row>
    <row r="136" spans="1:9" x14ac:dyDescent="0.25">
      <c r="A136" s="133"/>
      <c r="B136" s="135"/>
      <c r="C136" s="135"/>
      <c r="D136" s="302">
        <f t="shared" si="2"/>
        <v>0</v>
      </c>
      <c r="F136" s="131" t="e">
        <f ca="1">IF(#REF!="LT",B136*#REF!-#REF!*B136*INDIRECT("'Cost Inflation Index'!C"&amp;ROWS(CostInflationTable[#All]))/VLOOKUP(I136,CostInflationTable[[#All],[Yr begin]:[CII]],2,0),0)</f>
        <v>#REF!</v>
      </c>
      <c r="G136" s="131" t="e">
        <f>IF(#REF!="ST",#REF!*B136-#REF!*B136,0)</f>
        <v>#REF!</v>
      </c>
      <c r="H136" s="75" t="e">
        <f>MAX(#REF!,#REF!)</f>
        <v>#REF!</v>
      </c>
      <c r="I136" s="72" t="e">
        <f>TEXT(YEAR(#REF!)-IF(MONTH(#REF!)&lt;4,1,0),"0")</f>
        <v>#REF!</v>
      </c>
    </row>
    <row r="137" spans="1:9" x14ac:dyDescent="0.25">
      <c r="A137" s="133"/>
      <c r="B137" s="135"/>
      <c r="C137" s="135"/>
      <c r="D137" s="302">
        <f t="shared" si="2"/>
        <v>0</v>
      </c>
      <c r="F137" s="131" t="e">
        <f ca="1">IF(#REF!="LT",B137*#REF!-#REF!*B137*INDIRECT("'Cost Inflation Index'!C"&amp;ROWS(CostInflationTable[#All]))/VLOOKUP(I137,CostInflationTable[[#All],[Yr begin]:[CII]],2,0),0)</f>
        <v>#REF!</v>
      </c>
      <c r="G137" s="131" t="e">
        <f>IF(#REF!="ST",#REF!*B137-#REF!*B137,0)</f>
        <v>#REF!</v>
      </c>
      <c r="H137" s="75" t="e">
        <f>MAX(#REF!,#REF!)</f>
        <v>#REF!</v>
      </c>
      <c r="I137" s="72" t="e">
        <f>TEXT(YEAR(#REF!)-IF(MONTH(#REF!)&lt;4,1,0),"0")</f>
        <v>#REF!</v>
      </c>
    </row>
    <row r="138" spans="1:9" x14ac:dyDescent="0.25">
      <c r="A138" s="133"/>
      <c r="B138" s="135"/>
      <c r="C138" s="135"/>
      <c r="D138" s="302">
        <f t="shared" si="2"/>
        <v>0</v>
      </c>
      <c r="F138" s="131" t="e">
        <f ca="1">IF(#REF!="LT",B138*#REF!-#REF!*B138*INDIRECT("'Cost Inflation Index'!C"&amp;ROWS(CostInflationTable[#All]))/VLOOKUP(I138,CostInflationTable[[#All],[Yr begin]:[CII]],2,0),0)</f>
        <v>#REF!</v>
      </c>
      <c r="G138" s="131" t="e">
        <f>IF(#REF!="ST",#REF!*B138-#REF!*B138,0)</f>
        <v>#REF!</v>
      </c>
      <c r="H138" s="75" t="e">
        <f>MAX(#REF!,#REF!)</f>
        <v>#REF!</v>
      </c>
      <c r="I138" s="72" t="e">
        <f>TEXT(YEAR(#REF!)-IF(MONTH(#REF!)&lt;4,1,0),"0")</f>
        <v>#REF!</v>
      </c>
    </row>
    <row r="139" spans="1:9" x14ac:dyDescent="0.25">
      <c r="A139" s="133"/>
      <c r="B139" s="135"/>
      <c r="C139" s="135"/>
      <c r="D139" s="302">
        <f t="shared" si="2"/>
        <v>0</v>
      </c>
      <c r="F139" s="131" t="e">
        <f ca="1">IF(#REF!="LT",B139*#REF!-#REF!*B139*INDIRECT("'Cost Inflation Index'!C"&amp;ROWS(CostInflationTable[#All]))/VLOOKUP(I139,CostInflationTable[[#All],[Yr begin]:[CII]],2,0),0)</f>
        <v>#REF!</v>
      </c>
      <c r="G139" s="131" t="e">
        <f>IF(#REF!="ST",#REF!*B139-#REF!*B139,0)</f>
        <v>#REF!</v>
      </c>
      <c r="H139" s="75" t="e">
        <f>MAX(#REF!,#REF!)</f>
        <v>#REF!</v>
      </c>
      <c r="I139" s="72" t="e">
        <f>TEXT(YEAR(#REF!)-IF(MONTH(#REF!)&lt;4,1,0),"0")</f>
        <v>#REF!</v>
      </c>
    </row>
    <row r="140" spans="1:9" x14ac:dyDescent="0.25">
      <c r="A140" s="133"/>
      <c r="B140" s="135"/>
      <c r="C140" s="135"/>
      <c r="D140" s="302">
        <f t="shared" si="2"/>
        <v>0</v>
      </c>
      <c r="F140" s="131" t="e">
        <f ca="1">IF(#REF!="LT",B140*#REF!-#REF!*B140*INDIRECT("'Cost Inflation Index'!C"&amp;ROWS(CostInflationTable[#All]))/VLOOKUP(I140,CostInflationTable[[#All],[Yr begin]:[CII]],2,0),0)</f>
        <v>#REF!</v>
      </c>
      <c r="G140" s="131" t="e">
        <f>IF(#REF!="ST",#REF!*B140-#REF!*B140,0)</f>
        <v>#REF!</v>
      </c>
      <c r="H140" s="75" t="e">
        <f>MAX(#REF!,#REF!)</f>
        <v>#REF!</v>
      </c>
      <c r="I140" s="72" t="e">
        <f>TEXT(YEAR(#REF!)-IF(MONTH(#REF!)&lt;4,1,0),"0")</f>
        <v>#REF!</v>
      </c>
    </row>
    <row r="141" spans="1:9" x14ac:dyDescent="0.25">
      <c r="A141" s="133"/>
      <c r="B141" s="135"/>
      <c r="C141" s="135"/>
      <c r="D141" s="302">
        <f t="shared" si="2"/>
        <v>0</v>
      </c>
      <c r="F141" s="131" t="e">
        <f ca="1">IF(#REF!="LT",B141*#REF!-#REF!*B141*INDIRECT("'Cost Inflation Index'!C"&amp;ROWS(CostInflationTable[#All]))/VLOOKUP(I141,CostInflationTable[[#All],[Yr begin]:[CII]],2,0),0)</f>
        <v>#REF!</v>
      </c>
      <c r="G141" s="131" t="e">
        <f>IF(#REF!="ST",#REF!*B141-#REF!*B141,0)</f>
        <v>#REF!</v>
      </c>
      <c r="H141" s="75" t="e">
        <f>MAX(#REF!,#REF!)</f>
        <v>#REF!</v>
      </c>
      <c r="I141" s="72" t="e">
        <f>TEXT(YEAR(#REF!)-IF(MONTH(#REF!)&lt;4,1,0),"0")</f>
        <v>#REF!</v>
      </c>
    </row>
    <row r="142" spans="1:9" x14ac:dyDescent="0.25">
      <c r="A142" s="133"/>
      <c r="B142" s="135"/>
      <c r="C142" s="135"/>
      <c r="D142" s="302">
        <f t="shared" si="2"/>
        <v>0</v>
      </c>
      <c r="F142" s="131" t="e">
        <f ca="1">IF(#REF!="LT",B142*#REF!-#REF!*B142*INDIRECT("'Cost Inflation Index'!C"&amp;ROWS(CostInflationTable[#All]))/VLOOKUP(I142,CostInflationTable[[#All],[Yr begin]:[CII]],2,0),0)</f>
        <v>#REF!</v>
      </c>
      <c r="G142" s="131" t="e">
        <f>IF(#REF!="ST",#REF!*B142-#REF!*B142,0)</f>
        <v>#REF!</v>
      </c>
      <c r="H142" s="75" t="e">
        <f>MAX(#REF!,#REF!)</f>
        <v>#REF!</v>
      </c>
      <c r="I142" s="72" t="e">
        <f>TEXT(YEAR(#REF!)-IF(MONTH(#REF!)&lt;4,1,0),"0")</f>
        <v>#REF!</v>
      </c>
    </row>
    <row r="143" spans="1:9" x14ac:dyDescent="0.25">
      <c r="A143" s="133"/>
      <c r="B143" s="135"/>
      <c r="C143" s="135"/>
      <c r="D143" s="302">
        <f t="shared" si="2"/>
        <v>0</v>
      </c>
      <c r="F143" s="131" t="e">
        <f ca="1">IF(#REF!="LT",B143*#REF!-#REF!*B143*INDIRECT("'Cost Inflation Index'!C"&amp;ROWS(CostInflationTable[#All]))/VLOOKUP(I143,CostInflationTable[[#All],[Yr begin]:[CII]],2,0),0)</f>
        <v>#REF!</v>
      </c>
      <c r="G143" s="131" t="e">
        <f>IF(#REF!="ST",#REF!*B143-#REF!*B143,0)</f>
        <v>#REF!</v>
      </c>
      <c r="H143" s="75" t="e">
        <f>MAX(#REF!,#REF!)</f>
        <v>#REF!</v>
      </c>
      <c r="I143" s="72" t="e">
        <f>TEXT(YEAR(#REF!)-IF(MONTH(#REF!)&lt;4,1,0),"0")</f>
        <v>#REF!</v>
      </c>
    </row>
    <row r="144" spans="1:9" x14ac:dyDescent="0.25">
      <c r="A144" s="133"/>
      <c r="B144" s="135"/>
      <c r="C144" s="135"/>
      <c r="D144" s="302">
        <f t="shared" si="2"/>
        <v>0</v>
      </c>
      <c r="F144" s="131" t="e">
        <f ca="1">IF(#REF!="LT",B144*#REF!-#REF!*B144*INDIRECT("'Cost Inflation Index'!C"&amp;ROWS(CostInflationTable[#All]))/VLOOKUP(I144,CostInflationTable[[#All],[Yr begin]:[CII]],2,0),0)</f>
        <v>#REF!</v>
      </c>
      <c r="G144" s="131" t="e">
        <f>IF(#REF!="ST",#REF!*B144-#REF!*B144,0)</f>
        <v>#REF!</v>
      </c>
      <c r="H144" s="75" t="e">
        <f>MAX(#REF!,#REF!)</f>
        <v>#REF!</v>
      </c>
      <c r="I144" s="72" t="e">
        <f>TEXT(YEAR(#REF!)-IF(MONTH(#REF!)&lt;4,1,0),"0")</f>
        <v>#REF!</v>
      </c>
    </row>
    <row r="145" spans="1:9" x14ac:dyDescent="0.25">
      <c r="A145" s="133"/>
      <c r="B145" s="135"/>
      <c r="C145" s="135"/>
      <c r="D145" s="302">
        <f t="shared" si="2"/>
        <v>0</v>
      </c>
      <c r="F145" s="131" t="e">
        <f ca="1">IF(#REF!="LT",B145*#REF!-#REF!*B145*INDIRECT("'Cost Inflation Index'!C"&amp;ROWS(CostInflationTable[#All]))/VLOOKUP(I145,CostInflationTable[[#All],[Yr begin]:[CII]],2,0),0)</f>
        <v>#REF!</v>
      </c>
      <c r="G145" s="131" t="e">
        <f>IF(#REF!="ST",#REF!*B145-#REF!*B145,0)</f>
        <v>#REF!</v>
      </c>
      <c r="H145" s="75" t="e">
        <f>MAX(#REF!,#REF!)</f>
        <v>#REF!</v>
      </c>
      <c r="I145" s="72" t="e">
        <f>TEXT(YEAR(#REF!)-IF(MONTH(#REF!)&lt;4,1,0),"0")</f>
        <v>#REF!</v>
      </c>
    </row>
    <row r="146" spans="1:9" x14ac:dyDescent="0.25">
      <c r="A146" s="133"/>
      <c r="B146" s="135"/>
      <c r="C146" s="135"/>
      <c r="D146" s="302">
        <f t="shared" si="2"/>
        <v>0</v>
      </c>
      <c r="F146" s="131" t="e">
        <f ca="1">IF(#REF!="LT",B146*#REF!-#REF!*B146*INDIRECT("'Cost Inflation Index'!C"&amp;ROWS(CostInflationTable[#All]))/VLOOKUP(I146,CostInflationTable[[#All],[Yr begin]:[CII]],2,0),0)</f>
        <v>#REF!</v>
      </c>
      <c r="G146" s="131" t="e">
        <f>IF(#REF!="ST",#REF!*B146-#REF!*B146,0)</f>
        <v>#REF!</v>
      </c>
      <c r="H146" s="75" t="e">
        <f>MAX(#REF!,#REF!)</f>
        <v>#REF!</v>
      </c>
      <c r="I146" s="72" t="e">
        <f>TEXT(YEAR(#REF!)-IF(MONTH(#REF!)&lt;4,1,0),"0")</f>
        <v>#REF!</v>
      </c>
    </row>
    <row r="147" spans="1:9" x14ac:dyDescent="0.25">
      <c r="A147" s="133"/>
      <c r="B147" s="135"/>
      <c r="C147" s="135"/>
      <c r="D147" s="302">
        <f t="shared" si="2"/>
        <v>0</v>
      </c>
      <c r="F147" s="131" t="e">
        <f ca="1">IF(#REF!="LT",B147*#REF!-#REF!*B147*INDIRECT("'Cost Inflation Index'!C"&amp;ROWS(CostInflationTable[#All]))/VLOOKUP(I147,CostInflationTable[[#All],[Yr begin]:[CII]],2,0),0)</f>
        <v>#REF!</v>
      </c>
      <c r="G147" s="131" t="e">
        <f>IF(#REF!="ST",#REF!*B147-#REF!*B147,0)</f>
        <v>#REF!</v>
      </c>
      <c r="H147" s="75" t="e">
        <f>MAX(#REF!,#REF!)</f>
        <v>#REF!</v>
      </c>
      <c r="I147" s="72" t="e">
        <f>TEXT(YEAR(#REF!)-IF(MONTH(#REF!)&lt;4,1,0),"0")</f>
        <v>#REF!</v>
      </c>
    </row>
    <row r="148" spans="1:9" x14ac:dyDescent="0.25">
      <c r="A148" s="133"/>
      <c r="B148" s="135"/>
      <c r="C148" s="135"/>
      <c r="D148" s="302">
        <f t="shared" si="2"/>
        <v>0</v>
      </c>
      <c r="F148" s="131" t="e">
        <f ca="1">IF(#REF!="LT",B148*#REF!-#REF!*B148*INDIRECT("'Cost Inflation Index'!C"&amp;ROWS(CostInflationTable[#All]))/VLOOKUP(I148,CostInflationTable[[#All],[Yr begin]:[CII]],2,0),0)</f>
        <v>#REF!</v>
      </c>
      <c r="G148" s="131" t="e">
        <f>IF(#REF!="ST",#REF!*B148-#REF!*B148,0)</f>
        <v>#REF!</v>
      </c>
      <c r="H148" s="75" t="e">
        <f>MAX(#REF!,#REF!)</f>
        <v>#REF!</v>
      </c>
      <c r="I148" s="72" t="e">
        <f>TEXT(YEAR(#REF!)-IF(MONTH(#REF!)&lt;4,1,0),"0")</f>
        <v>#REF!</v>
      </c>
    </row>
    <row r="149" spans="1:9" x14ac:dyDescent="0.25">
      <c r="A149" s="133"/>
      <c r="B149" s="135"/>
      <c r="C149" s="135"/>
      <c r="D149" s="302">
        <f t="shared" si="2"/>
        <v>0</v>
      </c>
      <c r="F149" s="131" t="e">
        <f ca="1">IF(#REF!="LT",B149*#REF!-#REF!*B149*INDIRECT("'Cost Inflation Index'!C"&amp;ROWS(CostInflationTable[#All]))/VLOOKUP(I149,CostInflationTable[[#All],[Yr begin]:[CII]],2,0),0)</f>
        <v>#REF!</v>
      </c>
      <c r="G149" s="131" t="e">
        <f>IF(#REF!="ST",#REF!*B149-#REF!*B149,0)</f>
        <v>#REF!</v>
      </c>
      <c r="H149" s="75" t="e">
        <f>MAX(#REF!,#REF!)</f>
        <v>#REF!</v>
      </c>
      <c r="I149" s="72" t="e">
        <f>TEXT(YEAR(#REF!)-IF(MONTH(#REF!)&lt;4,1,0),"0")</f>
        <v>#REF!</v>
      </c>
    </row>
    <row r="150" spans="1:9" x14ac:dyDescent="0.25">
      <c r="A150" s="133"/>
      <c r="B150" s="135"/>
      <c r="C150" s="135"/>
      <c r="D150" s="302">
        <f t="shared" si="2"/>
        <v>0</v>
      </c>
      <c r="F150" s="131" t="e">
        <f ca="1">IF(#REF!="LT",B150*#REF!-#REF!*B150*INDIRECT("'Cost Inflation Index'!C"&amp;ROWS(CostInflationTable[#All]))/VLOOKUP(I150,CostInflationTable[[#All],[Yr begin]:[CII]],2,0),0)</f>
        <v>#REF!</v>
      </c>
      <c r="G150" s="131" t="e">
        <f>IF(#REF!="ST",#REF!*B150-#REF!*B150,0)</f>
        <v>#REF!</v>
      </c>
      <c r="H150" s="75" t="e">
        <f>MAX(#REF!,#REF!)</f>
        <v>#REF!</v>
      </c>
      <c r="I150" s="72" t="e">
        <f>TEXT(YEAR(#REF!)-IF(MONTH(#REF!)&lt;4,1,0),"0")</f>
        <v>#REF!</v>
      </c>
    </row>
    <row r="151" spans="1:9" x14ac:dyDescent="0.25">
      <c r="A151" s="133"/>
      <c r="B151" s="135"/>
      <c r="C151" s="135"/>
      <c r="D151" s="302">
        <f t="shared" si="2"/>
        <v>0</v>
      </c>
      <c r="F151" s="131" t="e">
        <f ca="1">IF(#REF!="LT",B151*#REF!-#REF!*B151*INDIRECT("'Cost Inflation Index'!C"&amp;ROWS(CostInflationTable[#All]))/VLOOKUP(I151,CostInflationTable[[#All],[Yr begin]:[CII]],2,0),0)</f>
        <v>#REF!</v>
      </c>
      <c r="G151" s="131" t="e">
        <f>IF(#REF!="ST",#REF!*B151-#REF!*B151,0)</f>
        <v>#REF!</v>
      </c>
      <c r="H151" s="75" t="e">
        <f>MAX(#REF!,#REF!)</f>
        <v>#REF!</v>
      </c>
      <c r="I151" s="72" t="e">
        <f>TEXT(YEAR(#REF!)-IF(MONTH(#REF!)&lt;4,1,0),"0")</f>
        <v>#REF!</v>
      </c>
    </row>
    <row r="152" spans="1:9" x14ac:dyDescent="0.25">
      <c r="A152" s="133"/>
      <c r="B152" s="135"/>
      <c r="C152" s="135"/>
      <c r="D152" s="302">
        <f t="shared" si="2"/>
        <v>0</v>
      </c>
      <c r="F152" s="131" t="e">
        <f ca="1">IF(#REF!="LT",B152*#REF!-#REF!*B152*INDIRECT("'Cost Inflation Index'!C"&amp;ROWS(CostInflationTable[#All]))/VLOOKUP(I152,CostInflationTable[[#All],[Yr begin]:[CII]],2,0),0)</f>
        <v>#REF!</v>
      </c>
      <c r="G152" s="131" t="e">
        <f>IF(#REF!="ST",#REF!*B152-#REF!*B152,0)</f>
        <v>#REF!</v>
      </c>
      <c r="H152" s="75" t="e">
        <f>MAX(#REF!,#REF!)</f>
        <v>#REF!</v>
      </c>
      <c r="I152" s="72" t="e">
        <f>TEXT(YEAR(#REF!)-IF(MONTH(#REF!)&lt;4,1,0),"0")</f>
        <v>#REF!</v>
      </c>
    </row>
    <row r="153" spans="1:9" x14ac:dyDescent="0.25">
      <c r="A153" s="133"/>
      <c r="B153" s="135"/>
      <c r="C153" s="135"/>
      <c r="D153" s="302">
        <f t="shared" si="2"/>
        <v>0</v>
      </c>
      <c r="F153" s="131" t="e">
        <f ca="1">IF(#REF!="LT",B153*#REF!-#REF!*B153*INDIRECT("'Cost Inflation Index'!C"&amp;ROWS(CostInflationTable[#All]))/VLOOKUP(I153,CostInflationTable[[#All],[Yr begin]:[CII]],2,0),0)</f>
        <v>#REF!</v>
      </c>
      <c r="G153" s="131" t="e">
        <f>IF(#REF!="ST",#REF!*B153-#REF!*B153,0)</f>
        <v>#REF!</v>
      </c>
      <c r="H153" s="75" t="e">
        <f>MAX(#REF!,#REF!)</f>
        <v>#REF!</v>
      </c>
      <c r="I153" s="72" t="e">
        <f>TEXT(YEAR(#REF!)-IF(MONTH(#REF!)&lt;4,1,0),"0")</f>
        <v>#REF!</v>
      </c>
    </row>
    <row r="154" spans="1:9" x14ac:dyDescent="0.25">
      <c r="A154" s="133"/>
      <c r="B154" s="135"/>
      <c r="C154" s="135"/>
      <c r="D154" s="302">
        <f t="shared" si="2"/>
        <v>0</v>
      </c>
      <c r="F154" s="131" t="e">
        <f ca="1">IF(#REF!="LT",B154*#REF!-#REF!*B154*INDIRECT("'Cost Inflation Index'!C"&amp;ROWS(CostInflationTable[#All]))/VLOOKUP(I154,CostInflationTable[[#All],[Yr begin]:[CII]],2,0),0)</f>
        <v>#REF!</v>
      </c>
      <c r="G154" s="131" t="e">
        <f>IF(#REF!="ST",#REF!*B154-#REF!*B154,0)</f>
        <v>#REF!</v>
      </c>
      <c r="H154" s="75" t="e">
        <f>MAX(#REF!,#REF!)</f>
        <v>#REF!</v>
      </c>
      <c r="I154" s="72" t="e">
        <f>TEXT(YEAR(#REF!)-IF(MONTH(#REF!)&lt;4,1,0),"0")</f>
        <v>#REF!</v>
      </c>
    </row>
    <row r="155" spans="1:9" x14ac:dyDescent="0.25">
      <c r="A155" s="133"/>
      <c r="B155" s="135"/>
      <c r="C155" s="135"/>
      <c r="D155" s="302">
        <f t="shared" si="2"/>
        <v>0</v>
      </c>
      <c r="F155" s="131" t="e">
        <f ca="1">IF(#REF!="LT",B155*#REF!-#REF!*B155*INDIRECT("'Cost Inflation Index'!C"&amp;ROWS(CostInflationTable[#All]))/VLOOKUP(I155,CostInflationTable[[#All],[Yr begin]:[CII]],2,0),0)</f>
        <v>#REF!</v>
      </c>
      <c r="G155" s="131" t="e">
        <f>IF(#REF!="ST",#REF!*B155-#REF!*B155,0)</f>
        <v>#REF!</v>
      </c>
      <c r="H155" s="75" t="e">
        <f>MAX(#REF!,#REF!)</f>
        <v>#REF!</v>
      </c>
      <c r="I155" s="72" t="e">
        <f>TEXT(YEAR(#REF!)-IF(MONTH(#REF!)&lt;4,1,0),"0")</f>
        <v>#REF!</v>
      </c>
    </row>
    <row r="156" spans="1:9" x14ac:dyDescent="0.25">
      <c r="A156" s="133"/>
      <c r="B156" s="135"/>
      <c r="C156" s="135"/>
      <c r="D156" s="302">
        <f t="shared" si="2"/>
        <v>0</v>
      </c>
      <c r="F156" s="131" t="e">
        <f ca="1">IF(#REF!="LT",B156*#REF!-#REF!*B156*INDIRECT("'Cost Inflation Index'!C"&amp;ROWS(CostInflationTable[#All]))/VLOOKUP(I156,CostInflationTable[[#All],[Yr begin]:[CII]],2,0),0)</f>
        <v>#REF!</v>
      </c>
      <c r="G156" s="131" t="e">
        <f>IF(#REF!="ST",#REF!*B156-#REF!*B156,0)</f>
        <v>#REF!</v>
      </c>
      <c r="H156" s="75" t="e">
        <f>MAX(#REF!,#REF!)</f>
        <v>#REF!</v>
      </c>
      <c r="I156" s="72" t="e">
        <f>TEXT(YEAR(#REF!)-IF(MONTH(#REF!)&lt;4,1,0),"0")</f>
        <v>#REF!</v>
      </c>
    </row>
    <row r="157" spans="1:9" x14ac:dyDescent="0.25">
      <c r="A157" s="133"/>
      <c r="B157" s="135"/>
      <c r="C157" s="135"/>
      <c r="D157" s="302">
        <f t="shared" si="2"/>
        <v>0</v>
      </c>
      <c r="F157" s="131" t="e">
        <f ca="1">IF(#REF!="LT",B157*#REF!-#REF!*B157*INDIRECT("'Cost Inflation Index'!C"&amp;ROWS(CostInflationTable[#All]))/VLOOKUP(I157,CostInflationTable[[#All],[Yr begin]:[CII]],2,0),0)</f>
        <v>#REF!</v>
      </c>
      <c r="G157" s="131" t="e">
        <f>IF(#REF!="ST",#REF!*B157-#REF!*B157,0)</f>
        <v>#REF!</v>
      </c>
      <c r="H157" s="75" t="e">
        <f>MAX(#REF!,#REF!)</f>
        <v>#REF!</v>
      </c>
      <c r="I157" s="72" t="e">
        <f>TEXT(YEAR(#REF!)-IF(MONTH(#REF!)&lt;4,1,0),"0")</f>
        <v>#REF!</v>
      </c>
    </row>
    <row r="158" spans="1:9" x14ac:dyDescent="0.25">
      <c r="A158" s="133"/>
      <c r="B158" s="135"/>
      <c r="C158" s="135"/>
      <c r="D158" s="302">
        <f t="shared" si="2"/>
        <v>0</v>
      </c>
      <c r="F158" s="131" t="e">
        <f ca="1">IF(#REF!="LT",B158*#REF!-#REF!*B158*INDIRECT("'Cost Inflation Index'!C"&amp;ROWS(CostInflationTable[#All]))/VLOOKUP(I158,CostInflationTable[[#All],[Yr begin]:[CII]],2,0),0)</f>
        <v>#REF!</v>
      </c>
      <c r="G158" s="131" t="e">
        <f>IF(#REF!="ST",#REF!*B158-#REF!*B158,0)</f>
        <v>#REF!</v>
      </c>
      <c r="H158" s="75" t="e">
        <f>MAX(#REF!,#REF!)</f>
        <v>#REF!</v>
      </c>
      <c r="I158" s="72" t="e">
        <f>TEXT(YEAR(#REF!)-IF(MONTH(#REF!)&lt;4,1,0),"0")</f>
        <v>#REF!</v>
      </c>
    </row>
    <row r="159" spans="1:9" x14ac:dyDescent="0.25">
      <c r="A159" s="133"/>
      <c r="B159" s="135"/>
      <c r="C159" s="135"/>
      <c r="D159" s="302">
        <f t="shared" si="2"/>
        <v>0</v>
      </c>
      <c r="F159" s="131" t="e">
        <f ca="1">IF(#REF!="LT",B159*#REF!-#REF!*B159*INDIRECT("'Cost Inflation Index'!C"&amp;ROWS(CostInflationTable[#All]))/VLOOKUP(I159,CostInflationTable[[#All],[Yr begin]:[CII]],2,0),0)</f>
        <v>#REF!</v>
      </c>
      <c r="G159" s="131" t="e">
        <f>IF(#REF!="ST",#REF!*B159-#REF!*B159,0)</f>
        <v>#REF!</v>
      </c>
      <c r="H159" s="75" t="e">
        <f>MAX(#REF!,#REF!)</f>
        <v>#REF!</v>
      </c>
      <c r="I159" s="72" t="e">
        <f>TEXT(YEAR(#REF!)-IF(MONTH(#REF!)&lt;4,1,0),"0")</f>
        <v>#REF!</v>
      </c>
    </row>
    <row r="160" spans="1:9" x14ac:dyDescent="0.25">
      <c r="A160" s="133"/>
      <c r="B160" s="135"/>
      <c r="C160" s="135"/>
      <c r="D160" s="302">
        <f t="shared" si="2"/>
        <v>0</v>
      </c>
      <c r="F160" s="131" t="e">
        <f ca="1">IF(#REF!="LT",B160*#REF!-#REF!*B160*INDIRECT("'Cost Inflation Index'!C"&amp;ROWS(CostInflationTable[#All]))/VLOOKUP(I160,CostInflationTable[[#All],[Yr begin]:[CII]],2,0),0)</f>
        <v>#REF!</v>
      </c>
      <c r="G160" s="131" t="e">
        <f>IF(#REF!="ST",#REF!*B160-#REF!*B160,0)</f>
        <v>#REF!</v>
      </c>
      <c r="H160" s="75" t="e">
        <f>MAX(#REF!,#REF!)</f>
        <v>#REF!</v>
      </c>
      <c r="I160" s="72" t="e">
        <f>TEXT(YEAR(#REF!)-IF(MONTH(#REF!)&lt;4,1,0),"0")</f>
        <v>#REF!</v>
      </c>
    </row>
    <row r="161" spans="1:9" x14ac:dyDescent="0.25">
      <c r="A161" s="133"/>
      <c r="B161" s="135"/>
      <c r="C161" s="135"/>
      <c r="D161" s="302">
        <f t="shared" si="2"/>
        <v>0</v>
      </c>
      <c r="F161" s="131" t="e">
        <f ca="1">IF(#REF!="LT",B161*#REF!-#REF!*B161*INDIRECT("'Cost Inflation Index'!C"&amp;ROWS(CostInflationTable[#All]))/VLOOKUP(I161,CostInflationTable[[#All],[Yr begin]:[CII]],2,0),0)</f>
        <v>#REF!</v>
      </c>
      <c r="G161" s="131" t="e">
        <f>IF(#REF!="ST",#REF!*B161-#REF!*B161,0)</f>
        <v>#REF!</v>
      </c>
      <c r="H161" s="75" t="e">
        <f>MAX(#REF!,#REF!)</f>
        <v>#REF!</v>
      </c>
      <c r="I161" s="72" t="e">
        <f>TEXT(YEAR(#REF!)-IF(MONTH(#REF!)&lt;4,1,0),"0")</f>
        <v>#REF!</v>
      </c>
    </row>
    <row r="162" spans="1:9" x14ac:dyDescent="0.25">
      <c r="A162" s="133"/>
      <c r="B162" s="135"/>
      <c r="C162" s="135"/>
      <c r="D162" s="302">
        <f t="shared" si="2"/>
        <v>0</v>
      </c>
      <c r="F162" s="131" t="e">
        <f ca="1">IF(#REF!="LT",B162*#REF!-#REF!*B162*INDIRECT("'Cost Inflation Index'!C"&amp;ROWS(CostInflationTable[#All]))/VLOOKUP(I162,CostInflationTable[[#All],[Yr begin]:[CII]],2,0),0)</f>
        <v>#REF!</v>
      </c>
      <c r="G162" s="131" t="e">
        <f>IF(#REF!="ST",#REF!*B162-#REF!*B162,0)</f>
        <v>#REF!</v>
      </c>
      <c r="H162" s="75" t="e">
        <f>MAX(#REF!,#REF!)</f>
        <v>#REF!</v>
      </c>
      <c r="I162" s="72" t="e">
        <f>TEXT(YEAR(#REF!)-IF(MONTH(#REF!)&lt;4,1,0),"0")</f>
        <v>#REF!</v>
      </c>
    </row>
    <row r="163" spans="1:9" x14ac:dyDescent="0.25">
      <c r="A163" s="133"/>
      <c r="B163" s="135"/>
      <c r="C163" s="135"/>
      <c r="D163" s="302">
        <f t="shared" si="2"/>
        <v>0</v>
      </c>
      <c r="F163" s="131" t="e">
        <f ca="1">IF(#REF!="LT",B163*#REF!-#REF!*B163*INDIRECT("'Cost Inflation Index'!C"&amp;ROWS(CostInflationTable[#All]))/VLOOKUP(I163,CostInflationTable[[#All],[Yr begin]:[CII]],2,0),0)</f>
        <v>#REF!</v>
      </c>
      <c r="G163" s="131" t="e">
        <f>IF(#REF!="ST",#REF!*B163-#REF!*B163,0)</f>
        <v>#REF!</v>
      </c>
      <c r="H163" s="75" t="e">
        <f>MAX(#REF!,#REF!)</f>
        <v>#REF!</v>
      </c>
      <c r="I163" s="72" t="e">
        <f>TEXT(YEAR(#REF!)-IF(MONTH(#REF!)&lt;4,1,0),"0")</f>
        <v>#REF!</v>
      </c>
    </row>
    <row r="164" spans="1:9" x14ac:dyDescent="0.25">
      <c r="A164" s="133"/>
      <c r="B164" s="135"/>
      <c r="C164" s="135"/>
      <c r="D164" s="302">
        <f t="shared" si="2"/>
        <v>0</v>
      </c>
      <c r="F164" s="131" t="e">
        <f ca="1">IF(#REF!="LT",B164*#REF!-#REF!*B164*INDIRECT("'Cost Inflation Index'!C"&amp;ROWS(CostInflationTable[#All]))/VLOOKUP(I164,CostInflationTable[[#All],[Yr begin]:[CII]],2,0),0)</f>
        <v>#REF!</v>
      </c>
      <c r="G164" s="131" t="e">
        <f>IF(#REF!="ST",#REF!*B164-#REF!*B164,0)</f>
        <v>#REF!</v>
      </c>
      <c r="H164" s="75" t="e">
        <f>MAX(#REF!,#REF!)</f>
        <v>#REF!</v>
      </c>
      <c r="I164" s="72" t="e">
        <f>TEXT(YEAR(#REF!)-IF(MONTH(#REF!)&lt;4,1,0),"0")</f>
        <v>#REF!</v>
      </c>
    </row>
    <row r="165" spans="1:9" x14ac:dyDescent="0.25">
      <c r="A165" s="133"/>
      <c r="B165" s="135"/>
      <c r="C165" s="135"/>
      <c r="D165" s="302">
        <f t="shared" si="2"/>
        <v>0</v>
      </c>
      <c r="F165" s="131" t="e">
        <f ca="1">IF(#REF!="LT",B165*#REF!-#REF!*B165*INDIRECT("'Cost Inflation Index'!C"&amp;ROWS(CostInflationTable[#All]))/VLOOKUP(I165,CostInflationTable[[#All],[Yr begin]:[CII]],2,0),0)</f>
        <v>#REF!</v>
      </c>
      <c r="G165" s="131" t="e">
        <f>IF(#REF!="ST",#REF!*B165-#REF!*B165,0)</f>
        <v>#REF!</v>
      </c>
      <c r="H165" s="75" t="e">
        <f>MAX(#REF!,#REF!)</f>
        <v>#REF!</v>
      </c>
      <c r="I165" s="72" t="e">
        <f>TEXT(YEAR(#REF!)-IF(MONTH(#REF!)&lt;4,1,0),"0")</f>
        <v>#REF!</v>
      </c>
    </row>
    <row r="166" spans="1:9" x14ac:dyDescent="0.25">
      <c r="A166" s="133"/>
      <c r="B166" s="135"/>
      <c r="C166" s="135"/>
      <c r="D166" s="302">
        <f t="shared" si="2"/>
        <v>0</v>
      </c>
      <c r="F166" s="131" t="e">
        <f ca="1">IF(#REF!="LT",B166*#REF!-#REF!*B166*INDIRECT("'Cost Inflation Index'!C"&amp;ROWS(CostInflationTable[#All]))/VLOOKUP(I166,CostInflationTable[[#All],[Yr begin]:[CII]],2,0),0)</f>
        <v>#REF!</v>
      </c>
      <c r="G166" s="131" t="e">
        <f>IF(#REF!="ST",#REF!*B166-#REF!*B166,0)</f>
        <v>#REF!</v>
      </c>
      <c r="H166" s="75" t="e">
        <f>MAX(#REF!,#REF!)</f>
        <v>#REF!</v>
      </c>
      <c r="I166" s="72" t="e">
        <f>TEXT(YEAR(#REF!)-IF(MONTH(#REF!)&lt;4,1,0),"0")</f>
        <v>#REF!</v>
      </c>
    </row>
    <row r="167" spans="1:9" x14ac:dyDescent="0.25">
      <c r="A167" s="133"/>
      <c r="B167" s="135"/>
      <c r="C167" s="135"/>
      <c r="D167" s="302">
        <f t="shared" si="2"/>
        <v>0</v>
      </c>
      <c r="F167" s="131" t="e">
        <f ca="1">IF(#REF!="LT",B167*#REF!-#REF!*B167*INDIRECT("'Cost Inflation Index'!C"&amp;ROWS(CostInflationTable[#All]))/VLOOKUP(I167,CostInflationTable[[#All],[Yr begin]:[CII]],2,0),0)</f>
        <v>#REF!</v>
      </c>
      <c r="G167" s="131" t="e">
        <f>IF(#REF!="ST",#REF!*B167-#REF!*B167,0)</f>
        <v>#REF!</v>
      </c>
      <c r="H167" s="75" t="e">
        <f>MAX(#REF!,#REF!)</f>
        <v>#REF!</v>
      </c>
      <c r="I167" s="72" t="e">
        <f>TEXT(YEAR(#REF!)-IF(MONTH(#REF!)&lt;4,1,0),"0")</f>
        <v>#REF!</v>
      </c>
    </row>
    <row r="168" spans="1:9" x14ac:dyDescent="0.25">
      <c r="A168" s="133"/>
      <c r="B168" s="135"/>
      <c r="C168" s="135"/>
      <c r="D168" s="302">
        <f t="shared" si="2"/>
        <v>0</v>
      </c>
      <c r="F168" s="131" t="e">
        <f ca="1">IF(#REF!="LT",B168*#REF!-#REF!*B168*INDIRECT("'Cost Inflation Index'!C"&amp;ROWS(CostInflationTable[#All]))/VLOOKUP(I168,CostInflationTable[[#All],[Yr begin]:[CII]],2,0),0)</f>
        <v>#REF!</v>
      </c>
      <c r="G168" s="131" t="e">
        <f>IF(#REF!="ST",#REF!*B168-#REF!*B168,0)</f>
        <v>#REF!</v>
      </c>
      <c r="H168" s="75" t="e">
        <f>MAX(#REF!,#REF!)</f>
        <v>#REF!</v>
      </c>
      <c r="I168" s="72" t="e">
        <f>TEXT(YEAR(#REF!)-IF(MONTH(#REF!)&lt;4,1,0),"0")</f>
        <v>#REF!</v>
      </c>
    </row>
    <row r="169" spans="1:9" x14ac:dyDescent="0.25">
      <c r="A169" s="133"/>
      <c r="B169" s="135"/>
      <c r="C169" s="135"/>
      <c r="D169" s="302">
        <f t="shared" si="2"/>
        <v>0</v>
      </c>
      <c r="F169" s="131" t="e">
        <f ca="1">IF(#REF!="LT",B169*#REF!-#REF!*B169*INDIRECT("'Cost Inflation Index'!C"&amp;ROWS(CostInflationTable[#All]))/VLOOKUP(I169,CostInflationTable[[#All],[Yr begin]:[CII]],2,0),0)</f>
        <v>#REF!</v>
      </c>
      <c r="G169" s="131" t="e">
        <f>IF(#REF!="ST",#REF!*B169-#REF!*B169,0)</f>
        <v>#REF!</v>
      </c>
      <c r="H169" s="75" t="e">
        <f>MAX(#REF!,#REF!)</f>
        <v>#REF!</v>
      </c>
      <c r="I169" s="72" t="e">
        <f>TEXT(YEAR(#REF!)-IF(MONTH(#REF!)&lt;4,1,0),"0")</f>
        <v>#REF!</v>
      </c>
    </row>
    <row r="170" spans="1:9" x14ac:dyDescent="0.25">
      <c r="A170" s="133"/>
      <c r="B170" s="135"/>
      <c r="C170" s="135"/>
      <c r="D170" s="302">
        <f t="shared" si="2"/>
        <v>0</v>
      </c>
      <c r="F170" s="131" t="e">
        <f ca="1">IF(#REF!="LT",B170*#REF!-#REF!*B170*INDIRECT("'Cost Inflation Index'!C"&amp;ROWS(CostInflationTable[#All]))/VLOOKUP(I170,CostInflationTable[[#All],[Yr begin]:[CII]],2,0),0)</f>
        <v>#REF!</v>
      </c>
      <c r="G170" s="131" t="e">
        <f>IF(#REF!="ST",#REF!*B170-#REF!*B170,0)</f>
        <v>#REF!</v>
      </c>
      <c r="H170" s="75" t="e">
        <f>MAX(#REF!,#REF!)</f>
        <v>#REF!</v>
      </c>
      <c r="I170" s="72" t="e">
        <f>TEXT(YEAR(#REF!)-IF(MONTH(#REF!)&lt;4,1,0),"0")</f>
        <v>#REF!</v>
      </c>
    </row>
    <row r="171" spans="1:9" x14ac:dyDescent="0.25">
      <c r="A171" s="133"/>
      <c r="B171" s="135"/>
      <c r="C171" s="135"/>
      <c r="D171" s="302">
        <f t="shared" si="2"/>
        <v>0</v>
      </c>
      <c r="F171" s="131" t="e">
        <f ca="1">IF(#REF!="LT",B171*#REF!-#REF!*B171*INDIRECT("'Cost Inflation Index'!C"&amp;ROWS(CostInflationTable[#All]))/VLOOKUP(I171,CostInflationTable[[#All],[Yr begin]:[CII]],2,0),0)</f>
        <v>#REF!</v>
      </c>
      <c r="G171" s="131" t="e">
        <f>IF(#REF!="ST",#REF!*B171-#REF!*B171,0)</f>
        <v>#REF!</v>
      </c>
      <c r="H171" s="75" t="e">
        <f>MAX(#REF!,#REF!)</f>
        <v>#REF!</v>
      </c>
      <c r="I171" s="72" t="e">
        <f>TEXT(YEAR(#REF!)-IF(MONTH(#REF!)&lt;4,1,0),"0")</f>
        <v>#REF!</v>
      </c>
    </row>
    <row r="172" spans="1:9" x14ac:dyDescent="0.25">
      <c r="A172" s="133"/>
      <c r="B172" s="135"/>
      <c r="C172" s="135"/>
      <c r="D172" s="302">
        <f t="shared" si="2"/>
        <v>0</v>
      </c>
      <c r="F172" s="131" t="e">
        <f ca="1">IF(#REF!="LT",B172*#REF!-#REF!*B172*INDIRECT("'Cost Inflation Index'!C"&amp;ROWS(CostInflationTable[#All]))/VLOOKUP(I172,CostInflationTable[[#All],[Yr begin]:[CII]],2,0),0)</f>
        <v>#REF!</v>
      </c>
      <c r="G172" s="131" t="e">
        <f>IF(#REF!="ST",#REF!*B172-#REF!*B172,0)</f>
        <v>#REF!</v>
      </c>
      <c r="H172" s="75" t="e">
        <f>MAX(#REF!,#REF!)</f>
        <v>#REF!</v>
      </c>
      <c r="I172" s="72" t="e">
        <f>TEXT(YEAR(#REF!)-IF(MONTH(#REF!)&lt;4,1,0),"0")</f>
        <v>#REF!</v>
      </c>
    </row>
    <row r="173" spans="1:9" x14ac:dyDescent="0.25">
      <c r="A173" s="133"/>
      <c r="B173" s="135"/>
      <c r="C173" s="135"/>
      <c r="D173" s="302">
        <f t="shared" si="2"/>
        <v>0</v>
      </c>
      <c r="F173" s="131" t="e">
        <f ca="1">IF(#REF!="LT",B173*#REF!-#REF!*B173*INDIRECT("'Cost Inflation Index'!C"&amp;ROWS(CostInflationTable[#All]))/VLOOKUP(I173,CostInflationTable[[#All],[Yr begin]:[CII]],2,0),0)</f>
        <v>#REF!</v>
      </c>
      <c r="G173" s="131" t="e">
        <f>IF(#REF!="ST",#REF!*B173-#REF!*B173,0)</f>
        <v>#REF!</v>
      </c>
      <c r="H173" s="75" t="e">
        <f>MAX(#REF!,#REF!)</f>
        <v>#REF!</v>
      </c>
      <c r="I173" s="72" t="e">
        <f>TEXT(YEAR(#REF!)-IF(MONTH(#REF!)&lt;4,1,0),"0")</f>
        <v>#REF!</v>
      </c>
    </row>
    <row r="174" spans="1:9" x14ac:dyDescent="0.25">
      <c r="A174" s="133"/>
      <c r="B174" s="135"/>
      <c r="C174" s="135"/>
      <c r="D174" s="302">
        <f t="shared" si="2"/>
        <v>0</v>
      </c>
      <c r="F174" s="131" t="e">
        <f ca="1">IF(#REF!="LT",B174*#REF!-#REF!*B174*INDIRECT("'Cost Inflation Index'!C"&amp;ROWS(CostInflationTable[#All]))/VLOOKUP(I174,CostInflationTable[[#All],[Yr begin]:[CII]],2,0),0)</f>
        <v>#REF!</v>
      </c>
      <c r="G174" s="131" t="e">
        <f>IF(#REF!="ST",#REF!*B174-#REF!*B174,0)</f>
        <v>#REF!</v>
      </c>
      <c r="H174" s="75" t="e">
        <f>MAX(#REF!,#REF!)</f>
        <v>#REF!</v>
      </c>
      <c r="I174" s="72" t="e">
        <f>TEXT(YEAR(#REF!)-IF(MONTH(#REF!)&lt;4,1,0),"0")</f>
        <v>#REF!</v>
      </c>
    </row>
    <row r="175" spans="1:9" x14ac:dyDescent="0.25">
      <c r="A175" s="133"/>
      <c r="B175" s="135"/>
      <c r="C175" s="135"/>
      <c r="D175" s="302">
        <f t="shared" si="2"/>
        <v>0</v>
      </c>
      <c r="F175" s="131" t="e">
        <f ca="1">IF(#REF!="LT",B175*#REF!-#REF!*B175*INDIRECT("'Cost Inflation Index'!C"&amp;ROWS(CostInflationTable[#All]))/VLOOKUP(I175,CostInflationTable[[#All],[Yr begin]:[CII]],2,0),0)</f>
        <v>#REF!</v>
      </c>
      <c r="G175" s="131" t="e">
        <f>IF(#REF!="ST",#REF!*B175-#REF!*B175,0)</f>
        <v>#REF!</v>
      </c>
      <c r="H175" s="75" t="e">
        <f>MAX(#REF!,#REF!)</f>
        <v>#REF!</v>
      </c>
      <c r="I175" s="72" t="e">
        <f>TEXT(YEAR(#REF!)-IF(MONTH(#REF!)&lt;4,1,0),"0")</f>
        <v>#REF!</v>
      </c>
    </row>
    <row r="176" spans="1:9" x14ac:dyDescent="0.25">
      <c r="A176" s="133"/>
      <c r="B176" s="135"/>
      <c r="C176" s="135"/>
      <c r="D176" s="302">
        <f t="shared" si="2"/>
        <v>0</v>
      </c>
      <c r="F176" s="131" t="e">
        <f ca="1">IF(#REF!="LT",B176*#REF!-#REF!*B176*INDIRECT("'Cost Inflation Index'!C"&amp;ROWS(CostInflationTable[#All]))/VLOOKUP(I176,CostInflationTable[[#All],[Yr begin]:[CII]],2,0),0)</f>
        <v>#REF!</v>
      </c>
      <c r="G176" s="131" t="e">
        <f>IF(#REF!="ST",#REF!*B176-#REF!*B176,0)</f>
        <v>#REF!</v>
      </c>
      <c r="H176" s="75" t="e">
        <f>MAX(#REF!,#REF!)</f>
        <v>#REF!</v>
      </c>
      <c r="I176" s="72" t="e">
        <f>TEXT(YEAR(#REF!)-IF(MONTH(#REF!)&lt;4,1,0),"0")</f>
        <v>#REF!</v>
      </c>
    </row>
    <row r="177" spans="1:9" x14ac:dyDescent="0.25">
      <c r="A177" s="133"/>
      <c r="B177" s="135"/>
      <c r="C177" s="135"/>
      <c r="D177" s="302">
        <f t="shared" si="2"/>
        <v>0</v>
      </c>
      <c r="F177" s="131" t="e">
        <f ca="1">IF(#REF!="LT",B177*#REF!-#REF!*B177*INDIRECT("'Cost Inflation Index'!C"&amp;ROWS(CostInflationTable[#All]))/VLOOKUP(I177,CostInflationTable[[#All],[Yr begin]:[CII]],2,0),0)</f>
        <v>#REF!</v>
      </c>
      <c r="G177" s="131" t="e">
        <f>IF(#REF!="ST",#REF!*B177-#REF!*B177,0)</f>
        <v>#REF!</v>
      </c>
      <c r="H177" s="75" t="e">
        <f>MAX(#REF!,#REF!)</f>
        <v>#REF!</v>
      </c>
      <c r="I177" s="72" t="e">
        <f>TEXT(YEAR(#REF!)-IF(MONTH(#REF!)&lt;4,1,0),"0")</f>
        <v>#REF!</v>
      </c>
    </row>
    <row r="178" spans="1:9" x14ac:dyDescent="0.25">
      <c r="A178" s="133"/>
      <c r="B178" s="135"/>
      <c r="C178" s="135"/>
      <c r="D178" s="302">
        <f t="shared" si="2"/>
        <v>0</v>
      </c>
      <c r="F178" s="131" t="e">
        <f ca="1">IF(#REF!="LT",B178*#REF!-#REF!*B178*INDIRECT("'Cost Inflation Index'!C"&amp;ROWS(CostInflationTable[#All]))/VLOOKUP(I178,CostInflationTable[[#All],[Yr begin]:[CII]],2,0),0)</f>
        <v>#REF!</v>
      </c>
      <c r="G178" s="131" t="e">
        <f>IF(#REF!="ST",#REF!*B178-#REF!*B178,0)</f>
        <v>#REF!</v>
      </c>
      <c r="H178" s="75" t="e">
        <f>MAX(#REF!,#REF!)</f>
        <v>#REF!</v>
      </c>
      <c r="I178" s="72" t="e">
        <f>TEXT(YEAR(#REF!)-IF(MONTH(#REF!)&lt;4,1,0),"0")</f>
        <v>#REF!</v>
      </c>
    </row>
    <row r="179" spans="1:9" x14ac:dyDescent="0.25">
      <c r="A179" s="133"/>
      <c r="B179" s="135"/>
      <c r="C179" s="135"/>
      <c r="D179" s="302">
        <f t="shared" si="2"/>
        <v>0</v>
      </c>
      <c r="F179" s="131" t="e">
        <f ca="1">IF(#REF!="LT",B179*#REF!-#REF!*B179*INDIRECT("'Cost Inflation Index'!C"&amp;ROWS(CostInflationTable[#All]))/VLOOKUP(I179,CostInflationTable[[#All],[Yr begin]:[CII]],2,0),0)</f>
        <v>#REF!</v>
      </c>
      <c r="G179" s="131" t="e">
        <f>IF(#REF!="ST",#REF!*B179-#REF!*B179,0)</f>
        <v>#REF!</v>
      </c>
      <c r="H179" s="75" t="e">
        <f>MAX(#REF!,#REF!)</f>
        <v>#REF!</v>
      </c>
      <c r="I179" s="72" t="e">
        <f>TEXT(YEAR(#REF!)-IF(MONTH(#REF!)&lt;4,1,0),"0")</f>
        <v>#REF!</v>
      </c>
    </row>
    <row r="180" spans="1:9" x14ac:dyDescent="0.25">
      <c r="A180" s="133"/>
      <c r="B180" s="135"/>
      <c r="C180" s="135"/>
      <c r="D180" s="302">
        <f t="shared" si="2"/>
        <v>0</v>
      </c>
      <c r="F180" s="131" t="e">
        <f ca="1">IF(#REF!="LT",B180*#REF!-#REF!*B180*INDIRECT("'Cost Inflation Index'!C"&amp;ROWS(CostInflationTable[#All]))/VLOOKUP(I180,CostInflationTable[[#All],[Yr begin]:[CII]],2,0),0)</f>
        <v>#REF!</v>
      </c>
      <c r="G180" s="131" t="e">
        <f>IF(#REF!="ST",#REF!*B180-#REF!*B180,0)</f>
        <v>#REF!</v>
      </c>
      <c r="H180" s="75" t="e">
        <f>MAX(#REF!,#REF!)</f>
        <v>#REF!</v>
      </c>
      <c r="I180" s="72" t="e">
        <f>TEXT(YEAR(#REF!)-IF(MONTH(#REF!)&lt;4,1,0),"0")</f>
        <v>#REF!</v>
      </c>
    </row>
    <row r="181" spans="1:9" x14ac:dyDescent="0.25">
      <c r="A181" s="133"/>
      <c r="B181" s="135"/>
      <c r="C181" s="135"/>
      <c r="D181" s="302">
        <f t="shared" si="2"/>
        <v>0</v>
      </c>
      <c r="F181" s="131" t="e">
        <f ca="1">IF(#REF!="LT",B181*#REF!-#REF!*B181*INDIRECT("'Cost Inflation Index'!C"&amp;ROWS(CostInflationTable[#All]))/VLOOKUP(I181,CostInflationTable[[#All],[Yr begin]:[CII]],2,0),0)</f>
        <v>#REF!</v>
      </c>
      <c r="G181" s="131" t="e">
        <f>IF(#REF!="ST",#REF!*B181-#REF!*B181,0)</f>
        <v>#REF!</v>
      </c>
      <c r="H181" s="75" t="e">
        <f>MAX(#REF!,#REF!)</f>
        <v>#REF!</v>
      </c>
      <c r="I181" s="72" t="e">
        <f>TEXT(YEAR(#REF!)-IF(MONTH(#REF!)&lt;4,1,0),"0")</f>
        <v>#REF!</v>
      </c>
    </row>
    <row r="182" spans="1:9" x14ac:dyDescent="0.25">
      <c r="A182" s="133"/>
      <c r="B182" s="135"/>
      <c r="C182" s="135"/>
      <c r="D182" s="302">
        <f t="shared" si="2"/>
        <v>0</v>
      </c>
      <c r="F182" s="131" t="e">
        <f ca="1">IF(#REF!="LT",B182*#REF!-#REF!*B182*INDIRECT("'Cost Inflation Index'!C"&amp;ROWS(CostInflationTable[#All]))/VLOOKUP(I182,CostInflationTable[[#All],[Yr begin]:[CII]],2,0),0)</f>
        <v>#REF!</v>
      </c>
      <c r="G182" s="131" t="e">
        <f>IF(#REF!="ST",#REF!*B182-#REF!*B182,0)</f>
        <v>#REF!</v>
      </c>
      <c r="H182" s="75" t="e">
        <f>MAX(#REF!,#REF!)</f>
        <v>#REF!</v>
      </c>
      <c r="I182" s="72" t="e">
        <f>TEXT(YEAR(#REF!)-IF(MONTH(#REF!)&lt;4,1,0),"0")</f>
        <v>#REF!</v>
      </c>
    </row>
    <row r="183" spans="1:9" x14ac:dyDescent="0.25">
      <c r="A183" s="133"/>
      <c r="B183" s="135"/>
      <c r="C183" s="135"/>
      <c r="D183" s="302">
        <f t="shared" si="2"/>
        <v>0</v>
      </c>
      <c r="F183" s="131" t="e">
        <f ca="1">IF(#REF!="LT",B183*#REF!-#REF!*B183*INDIRECT("'Cost Inflation Index'!C"&amp;ROWS(CostInflationTable[#All]))/VLOOKUP(I183,CostInflationTable[[#All],[Yr begin]:[CII]],2,0),0)</f>
        <v>#REF!</v>
      </c>
      <c r="G183" s="131" t="e">
        <f>IF(#REF!="ST",#REF!*B183-#REF!*B183,0)</f>
        <v>#REF!</v>
      </c>
      <c r="H183" s="75" t="e">
        <f>MAX(#REF!,#REF!)</f>
        <v>#REF!</v>
      </c>
      <c r="I183" s="72" t="e">
        <f>TEXT(YEAR(#REF!)-IF(MONTH(#REF!)&lt;4,1,0),"0")</f>
        <v>#REF!</v>
      </c>
    </row>
    <row r="184" spans="1:9" x14ac:dyDescent="0.25">
      <c r="A184" s="133"/>
      <c r="B184" s="135"/>
      <c r="C184" s="135"/>
      <c r="D184" s="302">
        <f t="shared" si="2"/>
        <v>0</v>
      </c>
      <c r="F184" s="131" t="e">
        <f ca="1">IF(#REF!="LT",B184*#REF!-#REF!*B184*INDIRECT("'Cost Inflation Index'!C"&amp;ROWS(CostInflationTable[#All]))/VLOOKUP(I184,CostInflationTable[[#All],[Yr begin]:[CII]],2,0),0)</f>
        <v>#REF!</v>
      </c>
      <c r="G184" s="131" t="e">
        <f>IF(#REF!="ST",#REF!*B184-#REF!*B184,0)</f>
        <v>#REF!</v>
      </c>
      <c r="H184" s="75" t="e">
        <f>MAX(#REF!,#REF!)</f>
        <v>#REF!</v>
      </c>
      <c r="I184" s="72" t="e">
        <f>TEXT(YEAR(#REF!)-IF(MONTH(#REF!)&lt;4,1,0),"0")</f>
        <v>#REF!</v>
      </c>
    </row>
    <row r="185" spans="1:9" x14ac:dyDescent="0.25">
      <c r="A185" s="133"/>
      <c r="B185" s="135"/>
      <c r="C185" s="135"/>
      <c r="D185" s="302">
        <f t="shared" si="2"/>
        <v>0</v>
      </c>
      <c r="F185" s="131" t="e">
        <f ca="1">IF(#REF!="LT",B185*#REF!-#REF!*B185*INDIRECT("'Cost Inflation Index'!C"&amp;ROWS(CostInflationTable[#All]))/VLOOKUP(I185,CostInflationTable[[#All],[Yr begin]:[CII]],2,0),0)</f>
        <v>#REF!</v>
      </c>
      <c r="G185" s="131" t="e">
        <f>IF(#REF!="ST",#REF!*B185-#REF!*B185,0)</f>
        <v>#REF!</v>
      </c>
      <c r="H185" s="75" t="e">
        <f>MAX(#REF!,#REF!)</f>
        <v>#REF!</v>
      </c>
      <c r="I185" s="72" t="e">
        <f>TEXT(YEAR(#REF!)-IF(MONTH(#REF!)&lt;4,1,0),"0")</f>
        <v>#REF!</v>
      </c>
    </row>
    <row r="186" spans="1:9" x14ac:dyDescent="0.25">
      <c r="A186" s="133"/>
      <c r="B186" s="135"/>
      <c r="C186" s="135"/>
      <c r="D186" s="302">
        <f t="shared" si="2"/>
        <v>0</v>
      </c>
      <c r="F186" s="131" t="e">
        <f ca="1">IF(#REF!="LT",B186*#REF!-#REF!*B186*INDIRECT("'Cost Inflation Index'!C"&amp;ROWS(CostInflationTable[#All]))/VLOOKUP(I186,CostInflationTable[[#All],[Yr begin]:[CII]],2,0),0)</f>
        <v>#REF!</v>
      </c>
      <c r="G186" s="131" t="e">
        <f>IF(#REF!="ST",#REF!*B186-#REF!*B186,0)</f>
        <v>#REF!</v>
      </c>
      <c r="H186" s="75" t="e">
        <f>MAX(#REF!,#REF!)</f>
        <v>#REF!</v>
      </c>
      <c r="I186" s="72" t="e">
        <f>TEXT(YEAR(#REF!)-IF(MONTH(#REF!)&lt;4,1,0),"0")</f>
        <v>#REF!</v>
      </c>
    </row>
    <row r="187" spans="1:9" x14ac:dyDescent="0.25">
      <c r="A187" s="133"/>
      <c r="B187" s="135"/>
      <c r="C187" s="135"/>
      <c r="D187" s="302">
        <f t="shared" si="2"/>
        <v>0</v>
      </c>
      <c r="F187" s="131" t="e">
        <f ca="1">IF(#REF!="LT",B187*#REF!-#REF!*B187*INDIRECT("'Cost Inflation Index'!C"&amp;ROWS(CostInflationTable[#All]))/VLOOKUP(I187,CostInflationTable[[#All],[Yr begin]:[CII]],2,0),0)</f>
        <v>#REF!</v>
      </c>
      <c r="G187" s="131" t="e">
        <f>IF(#REF!="ST",#REF!*B187-#REF!*B187,0)</f>
        <v>#REF!</v>
      </c>
      <c r="H187" s="75" t="e">
        <f>MAX(#REF!,#REF!)</f>
        <v>#REF!</v>
      </c>
      <c r="I187" s="72" t="e">
        <f>TEXT(YEAR(#REF!)-IF(MONTH(#REF!)&lt;4,1,0),"0")</f>
        <v>#REF!</v>
      </c>
    </row>
    <row r="188" spans="1:9" x14ac:dyDescent="0.25">
      <c r="A188" s="133"/>
      <c r="B188" s="135"/>
      <c r="C188" s="135"/>
      <c r="D188" s="302">
        <f t="shared" si="2"/>
        <v>0</v>
      </c>
      <c r="F188" s="131" t="e">
        <f ca="1">IF(#REF!="LT",B188*#REF!-#REF!*B188*INDIRECT("'Cost Inflation Index'!C"&amp;ROWS(CostInflationTable[#All]))/VLOOKUP(I188,CostInflationTable[[#All],[Yr begin]:[CII]],2,0),0)</f>
        <v>#REF!</v>
      </c>
      <c r="G188" s="131" t="e">
        <f>IF(#REF!="ST",#REF!*B188-#REF!*B188,0)</f>
        <v>#REF!</v>
      </c>
      <c r="H188" s="75" t="e">
        <f>MAX(#REF!,#REF!)</f>
        <v>#REF!</v>
      </c>
      <c r="I188" s="72" t="e">
        <f>TEXT(YEAR(#REF!)-IF(MONTH(#REF!)&lt;4,1,0),"0")</f>
        <v>#REF!</v>
      </c>
    </row>
    <row r="189" spans="1:9" x14ac:dyDescent="0.25">
      <c r="A189" s="133"/>
      <c r="B189" s="135"/>
      <c r="C189" s="135"/>
      <c r="D189" s="302">
        <f t="shared" si="2"/>
        <v>0</v>
      </c>
      <c r="F189" s="131" t="e">
        <f ca="1">IF(#REF!="LT",B189*#REF!-#REF!*B189*INDIRECT("'Cost Inflation Index'!C"&amp;ROWS(CostInflationTable[#All]))/VLOOKUP(I189,CostInflationTable[[#All],[Yr begin]:[CII]],2,0),0)</f>
        <v>#REF!</v>
      </c>
      <c r="G189" s="131" t="e">
        <f>IF(#REF!="ST",#REF!*B189-#REF!*B189,0)</f>
        <v>#REF!</v>
      </c>
      <c r="H189" s="75" t="e">
        <f>MAX(#REF!,#REF!)</f>
        <v>#REF!</v>
      </c>
      <c r="I189" s="72" t="e">
        <f>TEXT(YEAR(#REF!)-IF(MONTH(#REF!)&lt;4,1,0),"0")</f>
        <v>#REF!</v>
      </c>
    </row>
    <row r="190" spans="1:9" x14ac:dyDescent="0.25">
      <c r="A190" s="133"/>
      <c r="B190" s="135"/>
      <c r="C190" s="135"/>
      <c r="D190" s="302">
        <f t="shared" si="2"/>
        <v>0</v>
      </c>
      <c r="F190" s="131" t="e">
        <f ca="1">IF(#REF!="LT",B190*#REF!-#REF!*B190*INDIRECT("'Cost Inflation Index'!C"&amp;ROWS(CostInflationTable[#All]))/VLOOKUP(I190,CostInflationTable[[#All],[Yr begin]:[CII]],2,0),0)</f>
        <v>#REF!</v>
      </c>
      <c r="G190" s="131" t="e">
        <f>IF(#REF!="ST",#REF!*B190-#REF!*B190,0)</f>
        <v>#REF!</v>
      </c>
      <c r="H190" s="75" t="e">
        <f>MAX(#REF!,#REF!)</f>
        <v>#REF!</v>
      </c>
      <c r="I190" s="72" t="e">
        <f>TEXT(YEAR(#REF!)-IF(MONTH(#REF!)&lt;4,1,0),"0")</f>
        <v>#REF!</v>
      </c>
    </row>
    <row r="191" spans="1:9" x14ac:dyDescent="0.25">
      <c r="A191" s="133"/>
      <c r="B191" s="135"/>
      <c r="C191" s="135"/>
      <c r="D191" s="302">
        <f t="shared" si="2"/>
        <v>0</v>
      </c>
      <c r="F191" s="131" t="e">
        <f ca="1">IF(#REF!="LT",B191*#REF!-#REF!*B191*INDIRECT("'Cost Inflation Index'!C"&amp;ROWS(CostInflationTable[#All]))/VLOOKUP(I191,CostInflationTable[[#All],[Yr begin]:[CII]],2,0),0)</f>
        <v>#REF!</v>
      </c>
      <c r="G191" s="131" t="e">
        <f>IF(#REF!="ST",#REF!*B191-#REF!*B191,0)</f>
        <v>#REF!</v>
      </c>
      <c r="H191" s="75" t="e">
        <f>MAX(#REF!,#REF!)</f>
        <v>#REF!</v>
      </c>
      <c r="I191" s="72" t="e">
        <f>TEXT(YEAR(#REF!)-IF(MONTH(#REF!)&lt;4,1,0),"0")</f>
        <v>#REF!</v>
      </c>
    </row>
    <row r="192" spans="1:9" x14ac:dyDescent="0.25">
      <c r="A192" s="133"/>
      <c r="B192" s="135"/>
      <c r="C192" s="135"/>
      <c r="D192" s="302">
        <f t="shared" si="2"/>
        <v>0</v>
      </c>
      <c r="F192" s="131" t="e">
        <f ca="1">IF(#REF!="LT",B192*#REF!-#REF!*B192*INDIRECT("'Cost Inflation Index'!C"&amp;ROWS(CostInflationTable[#All]))/VLOOKUP(I192,CostInflationTable[[#All],[Yr begin]:[CII]],2,0),0)</f>
        <v>#REF!</v>
      </c>
      <c r="G192" s="131" t="e">
        <f>IF(#REF!="ST",#REF!*B192-#REF!*B192,0)</f>
        <v>#REF!</v>
      </c>
      <c r="H192" s="75" t="e">
        <f>MAX(#REF!,#REF!)</f>
        <v>#REF!</v>
      </c>
      <c r="I192" s="72" t="e">
        <f>TEXT(YEAR(#REF!)-IF(MONTH(#REF!)&lt;4,1,0),"0")</f>
        <v>#REF!</v>
      </c>
    </row>
    <row r="193" spans="1:9" x14ac:dyDescent="0.25">
      <c r="A193" s="133"/>
      <c r="B193" s="135"/>
      <c r="C193" s="135"/>
      <c r="D193" s="302">
        <f t="shared" si="2"/>
        <v>0</v>
      </c>
      <c r="F193" s="131" t="e">
        <f ca="1">IF(#REF!="LT",B193*#REF!-#REF!*B193*INDIRECT("'Cost Inflation Index'!C"&amp;ROWS(CostInflationTable[#All]))/VLOOKUP(I193,CostInflationTable[[#All],[Yr begin]:[CII]],2,0),0)</f>
        <v>#REF!</v>
      </c>
      <c r="G193" s="131" t="e">
        <f>IF(#REF!="ST",#REF!*B193-#REF!*B193,0)</f>
        <v>#REF!</v>
      </c>
      <c r="H193" s="75" t="e">
        <f>MAX(#REF!,#REF!)</f>
        <v>#REF!</v>
      </c>
      <c r="I193" s="72" t="e">
        <f>TEXT(YEAR(#REF!)-IF(MONTH(#REF!)&lt;4,1,0),"0")</f>
        <v>#REF!</v>
      </c>
    </row>
    <row r="194" spans="1:9" x14ac:dyDescent="0.25">
      <c r="A194" s="133"/>
      <c r="B194" s="135"/>
      <c r="C194" s="135"/>
      <c r="D194" s="302">
        <f t="shared" si="2"/>
        <v>0</v>
      </c>
      <c r="F194" s="131" t="e">
        <f ca="1">IF(#REF!="LT",B194*#REF!-#REF!*B194*INDIRECT("'Cost Inflation Index'!C"&amp;ROWS(CostInflationTable[#All]))/VLOOKUP(I194,CostInflationTable[[#All],[Yr begin]:[CII]],2,0),0)</f>
        <v>#REF!</v>
      </c>
      <c r="G194" s="131" t="e">
        <f>IF(#REF!="ST",#REF!*B194-#REF!*B194,0)</f>
        <v>#REF!</v>
      </c>
      <c r="H194" s="75" t="e">
        <f>MAX(#REF!,#REF!)</f>
        <v>#REF!</v>
      </c>
      <c r="I194" s="72" t="e">
        <f>TEXT(YEAR(#REF!)-IF(MONTH(#REF!)&lt;4,1,0),"0")</f>
        <v>#REF!</v>
      </c>
    </row>
    <row r="195" spans="1:9" x14ac:dyDescent="0.25">
      <c r="A195" s="133"/>
      <c r="B195" s="135"/>
      <c r="C195" s="135"/>
      <c r="D195" s="302">
        <f t="shared" si="2"/>
        <v>0</v>
      </c>
      <c r="F195" s="131" t="e">
        <f ca="1">IF(#REF!="LT",B195*#REF!-#REF!*B195*INDIRECT("'Cost Inflation Index'!C"&amp;ROWS(CostInflationTable[#All]))/VLOOKUP(I195,CostInflationTable[[#All],[Yr begin]:[CII]],2,0),0)</f>
        <v>#REF!</v>
      </c>
      <c r="G195" s="131" t="e">
        <f>IF(#REF!="ST",#REF!*B195-#REF!*B195,0)</f>
        <v>#REF!</v>
      </c>
      <c r="H195" s="75" t="e">
        <f>MAX(#REF!,#REF!)</f>
        <v>#REF!</v>
      </c>
      <c r="I195" s="72" t="e">
        <f>TEXT(YEAR(#REF!)-IF(MONTH(#REF!)&lt;4,1,0),"0")</f>
        <v>#REF!</v>
      </c>
    </row>
    <row r="196" spans="1:9" x14ac:dyDescent="0.25">
      <c r="A196" s="133"/>
      <c r="B196" s="135"/>
      <c r="C196" s="135"/>
      <c r="D196" s="302">
        <f t="shared" si="2"/>
        <v>0</v>
      </c>
      <c r="F196" s="131" t="e">
        <f ca="1">IF(#REF!="LT",B196*#REF!-#REF!*B196*INDIRECT("'Cost Inflation Index'!C"&amp;ROWS(CostInflationTable[#All]))/VLOOKUP(I196,CostInflationTable[[#All],[Yr begin]:[CII]],2,0),0)</f>
        <v>#REF!</v>
      </c>
      <c r="G196" s="131" t="e">
        <f>IF(#REF!="ST",#REF!*B196-#REF!*B196,0)</f>
        <v>#REF!</v>
      </c>
      <c r="H196" s="75" t="e">
        <f>MAX(#REF!,#REF!)</f>
        <v>#REF!</v>
      </c>
      <c r="I196" s="72" t="e">
        <f>TEXT(YEAR(#REF!)-IF(MONTH(#REF!)&lt;4,1,0),"0")</f>
        <v>#REF!</v>
      </c>
    </row>
    <row r="197" spans="1:9" x14ac:dyDescent="0.25">
      <c r="A197" s="133"/>
      <c r="B197" s="135"/>
      <c r="C197" s="135"/>
      <c r="D197" s="302">
        <f t="shared" si="2"/>
        <v>0</v>
      </c>
      <c r="F197" s="131" t="e">
        <f ca="1">IF(#REF!="LT",B197*#REF!-#REF!*B197*INDIRECT("'Cost Inflation Index'!C"&amp;ROWS(CostInflationTable[#All]))/VLOOKUP(I197,CostInflationTable[[#All],[Yr begin]:[CII]],2,0),0)</f>
        <v>#REF!</v>
      </c>
      <c r="G197" s="131" t="e">
        <f>IF(#REF!="ST",#REF!*B197-#REF!*B197,0)</f>
        <v>#REF!</v>
      </c>
      <c r="H197" s="75" t="e">
        <f>MAX(#REF!,#REF!)</f>
        <v>#REF!</v>
      </c>
      <c r="I197" s="72" t="e">
        <f>TEXT(YEAR(#REF!)-IF(MONTH(#REF!)&lt;4,1,0),"0")</f>
        <v>#REF!</v>
      </c>
    </row>
    <row r="198" spans="1:9" x14ac:dyDescent="0.25">
      <c r="A198" s="133"/>
      <c r="B198" s="135"/>
      <c r="C198" s="135"/>
      <c r="D198" s="302">
        <f t="shared" ref="D198:D204" si="3">SUM(B198:C198)</f>
        <v>0</v>
      </c>
      <c r="F198" s="131" t="e">
        <f ca="1">IF(#REF!="LT",B198*#REF!-#REF!*B198*INDIRECT("'Cost Inflation Index'!C"&amp;ROWS(CostInflationTable[#All]))/VLOOKUP(I198,CostInflationTable[[#All],[Yr begin]:[CII]],2,0),0)</f>
        <v>#REF!</v>
      </c>
      <c r="G198" s="131" t="e">
        <f>IF(#REF!="ST",#REF!*B198-#REF!*B198,0)</f>
        <v>#REF!</v>
      </c>
      <c r="H198" s="75" t="e">
        <f>MAX(#REF!,#REF!)</f>
        <v>#REF!</v>
      </c>
      <c r="I198" s="72" t="e">
        <f>TEXT(YEAR(#REF!)-IF(MONTH(#REF!)&lt;4,1,0),"0")</f>
        <v>#REF!</v>
      </c>
    </row>
    <row r="199" spans="1:9" x14ac:dyDescent="0.25">
      <c r="A199" s="133"/>
      <c r="B199" s="135"/>
      <c r="C199" s="135"/>
      <c r="D199" s="302">
        <f t="shared" si="3"/>
        <v>0</v>
      </c>
      <c r="F199" s="131" t="e">
        <f ca="1">IF(#REF!="LT",B199*#REF!-#REF!*B199*INDIRECT("'Cost Inflation Index'!C"&amp;ROWS(CostInflationTable[#All]))/VLOOKUP(I199,CostInflationTable[[#All],[Yr begin]:[CII]],2,0),0)</f>
        <v>#REF!</v>
      </c>
      <c r="G199" s="131" t="e">
        <f>IF(#REF!="ST",#REF!*B199-#REF!*B199,0)</f>
        <v>#REF!</v>
      </c>
      <c r="H199" s="75" t="e">
        <f>MAX(#REF!,#REF!)</f>
        <v>#REF!</v>
      </c>
      <c r="I199" s="72" t="e">
        <f>TEXT(YEAR(#REF!)-IF(MONTH(#REF!)&lt;4,1,0),"0")</f>
        <v>#REF!</v>
      </c>
    </row>
    <row r="200" spans="1:9" x14ac:dyDescent="0.25">
      <c r="A200" s="133"/>
      <c r="B200" s="135"/>
      <c r="C200" s="135"/>
      <c r="D200" s="302">
        <f t="shared" si="3"/>
        <v>0</v>
      </c>
      <c r="F200" s="131" t="e">
        <f ca="1">IF(#REF!="LT",B200*#REF!-#REF!*B200*INDIRECT("'Cost Inflation Index'!C"&amp;ROWS(CostInflationTable[#All]))/VLOOKUP(I200,CostInflationTable[[#All],[Yr begin]:[CII]],2,0),0)</f>
        <v>#REF!</v>
      </c>
      <c r="G200" s="131" t="e">
        <f>IF(#REF!="ST",#REF!*B200-#REF!*B200,0)</f>
        <v>#REF!</v>
      </c>
      <c r="H200" s="75" t="e">
        <f>MAX(#REF!,#REF!)</f>
        <v>#REF!</v>
      </c>
      <c r="I200" s="72" t="e">
        <f>TEXT(YEAR(#REF!)-IF(MONTH(#REF!)&lt;4,1,0),"0")</f>
        <v>#REF!</v>
      </c>
    </row>
    <row r="201" spans="1:9" x14ac:dyDescent="0.25">
      <c r="A201" s="133"/>
      <c r="B201" s="135"/>
      <c r="C201" s="135"/>
      <c r="D201" s="302">
        <f t="shared" si="3"/>
        <v>0</v>
      </c>
      <c r="F201" s="131" t="e">
        <f ca="1">IF(#REF!="LT",B201*#REF!-#REF!*B201*INDIRECT("'Cost Inflation Index'!C"&amp;ROWS(CostInflationTable[#All]))/VLOOKUP(I201,CostInflationTable[[#All],[Yr begin]:[CII]],2,0),0)</f>
        <v>#REF!</v>
      </c>
      <c r="G201" s="131" t="e">
        <f>IF(#REF!="ST",#REF!*B201-#REF!*B201,0)</f>
        <v>#REF!</v>
      </c>
      <c r="H201" s="75" t="e">
        <f>MAX(#REF!,#REF!)</f>
        <v>#REF!</v>
      </c>
      <c r="I201" s="72" t="e">
        <f>TEXT(YEAR(#REF!)-IF(MONTH(#REF!)&lt;4,1,0),"0")</f>
        <v>#REF!</v>
      </c>
    </row>
    <row r="202" spans="1:9" x14ac:dyDescent="0.25">
      <c r="A202" s="133"/>
      <c r="B202" s="135"/>
      <c r="C202" s="135"/>
      <c r="D202" s="302">
        <f t="shared" si="3"/>
        <v>0</v>
      </c>
      <c r="F202" s="131" t="e">
        <f ca="1">IF(#REF!="LT",B202*#REF!-#REF!*B202*INDIRECT("'Cost Inflation Index'!C"&amp;ROWS(CostInflationTable[#All]))/VLOOKUP(I202,CostInflationTable[[#All],[Yr begin]:[CII]],2,0),0)</f>
        <v>#REF!</v>
      </c>
      <c r="G202" s="131" t="e">
        <f>IF(#REF!="ST",#REF!*B202-#REF!*B202,0)</f>
        <v>#REF!</v>
      </c>
      <c r="H202" s="75" t="e">
        <f>MAX(#REF!,#REF!)</f>
        <v>#REF!</v>
      </c>
      <c r="I202" s="72" t="e">
        <f>TEXT(YEAR(#REF!)-IF(MONTH(#REF!)&lt;4,1,0),"0")</f>
        <v>#REF!</v>
      </c>
    </row>
    <row r="203" spans="1:9" x14ac:dyDescent="0.25">
      <c r="A203" s="133"/>
      <c r="B203" s="135"/>
      <c r="C203" s="135"/>
      <c r="D203" s="302">
        <f t="shared" si="3"/>
        <v>0</v>
      </c>
      <c r="F203" s="131" t="e">
        <f ca="1">IF(#REF!="LT",B203*#REF!-#REF!*B203*INDIRECT("'Cost Inflation Index'!C"&amp;ROWS(CostInflationTable[#All]))/VLOOKUP(I203,CostInflationTable[[#All],[Yr begin]:[CII]],2,0),0)</f>
        <v>#REF!</v>
      </c>
      <c r="G203" s="131" t="e">
        <f>IF(#REF!="ST",#REF!*B203-#REF!*B203,0)</f>
        <v>#REF!</v>
      </c>
      <c r="H203" s="75" t="e">
        <f>MAX(#REF!,#REF!)</f>
        <v>#REF!</v>
      </c>
      <c r="I203" s="72" t="e">
        <f>TEXT(YEAR(#REF!)-IF(MONTH(#REF!)&lt;4,1,0),"0")</f>
        <v>#REF!</v>
      </c>
    </row>
    <row r="204" spans="1:9" x14ac:dyDescent="0.25">
      <c r="A204" s="133"/>
      <c r="B204" s="135"/>
      <c r="C204" s="135"/>
      <c r="D204" s="302">
        <f t="shared" si="3"/>
        <v>0</v>
      </c>
      <c r="F204" s="131" t="e">
        <f ca="1">IF(#REF!="LT",B204*#REF!-#REF!*B204*INDIRECT("'Cost Inflation Index'!C"&amp;ROWS(CostInflationTable[#All]))/VLOOKUP(I204,CostInflationTable[[#All],[Yr begin]:[CII]],2,0),0)</f>
        <v>#REF!</v>
      </c>
      <c r="G204" s="131" t="e">
        <f>IF(#REF!="ST",#REF!*B204-#REF!*B204,0)</f>
        <v>#REF!</v>
      </c>
      <c r="H204" s="75" t="e">
        <f>MAX(#REF!,#REF!)</f>
        <v>#REF!</v>
      </c>
      <c r="I204" s="72" t="e">
        <f>TEXT(YEAR(#REF!)-IF(MONTH(#REF!)&lt;4,1,0),"0")</f>
        <v>#REF!</v>
      </c>
    </row>
    <row r="205" spans="1:9" x14ac:dyDescent="0.25"/>
    <row r="206" spans="1:9" x14ac:dyDescent="0.25">
      <c r="A206" s="303" t="s">
        <v>527</v>
      </c>
      <c r="B206" s="304">
        <f>SUM(B5:B204)</f>
        <v>0</v>
      </c>
      <c r="C206" s="304">
        <f>SUM(C5:C204)</f>
        <v>0</v>
      </c>
      <c r="D206" s="304">
        <f>SUM(D5:D204)</f>
        <v>0</v>
      </c>
      <c r="E206" s="137"/>
      <c r="F206" s="132" t="e">
        <f ca="1">SUM(F5:F204)</f>
        <v>#REF!</v>
      </c>
      <c r="G206" s="132" t="e">
        <f>SUM(G5:G204)</f>
        <v>#REF!</v>
      </c>
      <c r="H206" s="160" t="e">
        <f ca="1">IF(F206&gt;0,G206+MIN(F206,ABS(G206)),G206)</f>
        <v>#REF!</v>
      </c>
    </row>
    <row r="207" spans="1:9" x14ac:dyDescent="0.25">
      <c r="A207" s="384" t="str">
        <f>Copyright</f>
        <v>© 1997-2024, Nithyanand Yeswanth (taxcalc@ynithya.com)</v>
      </c>
      <c r="B207" s="385"/>
      <c r="C207" s="385"/>
      <c r="D207" s="385"/>
    </row>
    <row r="208" spans="1:9" x14ac:dyDescent="0.25">
      <c r="A208" s="161"/>
      <c r="B208" s="161"/>
      <c r="C208" s="161"/>
      <c r="D208" s="161"/>
    </row>
    <row r="209" spans="1:4" x14ac:dyDescent="0.25">
      <c r="A209" s="67" t="s">
        <v>173</v>
      </c>
      <c r="B209" s="67"/>
      <c r="C209" s="67"/>
    </row>
    <row r="210" spans="1:4" x14ac:dyDescent="0.25">
      <c r="A210" s="386" t="s">
        <v>529</v>
      </c>
      <c r="B210" s="386"/>
      <c r="C210" s="386"/>
      <c r="D210" s="387"/>
    </row>
    <row r="211" spans="1:4" x14ac:dyDescent="0.25">
      <c r="A211" s="382" t="s">
        <v>528</v>
      </c>
      <c r="B211" s="382"/>
      <c r="C211" s="382"/>
      <c r="D211" s="383"/>
    </row>
    <row r="212" spans="1:4" ht="12.75" customHeight="1" x14ac:dyDescent="0.25">
      <c r="A212" s="68"/>
      <c r="B212" s="68"/>
      <c r="C212" s="68"/>
    </row>
    <row r="213" spans="1:4" hidden="1" x14ac:dyDescent="0.25">
      <c r="A213" s="68"/>
      <c r="B213" s="68"/>
      <c r="C213" s="68"/>
    </row>
    <row r="214" spans="1:4" hidden="1" x14ac:dyDescent="0.25">
      <c r="A214" s="68"/>
      <c r="B214" s="68"/>
      <c r="C214" s="68"/>
    </row>
    <row r="215" spans="1:4" hidden="1" x14ac:dyDescent="0.25">
      <c r="A215" s="68"/>
      <c r="B215" s="68"/>
      <c r="C215" s="68"/>
    </row>
    <row r="216" spans="1:4" hidden="1" x14ac:dyDescent="0.25">
      <c r="A216" s="68"/>
      <c r="B216" s="68"/>
      <c r="C216" s="68"/>
    </row>
    <row r="217" spans="1:4" hidden="1" x14ac:dyDescent="0.25">
      <c r="A217" s="68"/>
      <c r="B217" s="68"/>
      <c r="C217" s="68"/>
    </row>
    <row r="218" spans="1:4" hidden="1" x14ac:dyDescent="0.25">
      <c r="A218" s="103"/>
      <c r="B218" s="103"/>
      <c r="C218" s="103"/>
    </row>
    <row r="219" spans="1:4" hidden="1" x14ac:dyDescent="0.25">
      <c r="A219" s="103"/>
      <c r="B219" s="103"/>
      <c r="C219" s="103"/>
    </row>
    <row r="220" spans="1:4" hidden="1" x14ac:dyDescent="0.25">
      <c r="A220" s="103"/>
      <c r="B220" s="103"/>
      <c r="C220" s="103"/>
    </row>
    <row r="221" spans="1:4" hidden="1" x14ac:dyDescent="0.25">
      <c r="A221" s="103"/>
      <c r="B221" s="103"/>
      <c r="C221" s="103"/>
    </row>
    <row r="222" spans="1:4" hidden="1" x14ac:dyDescent="0.25">
      <c r="A222" s="103"/>
      <c r="B222" s="103"/>
      <c r="C222" s="103"/>
    </row>
    <row r="223" spans="1:4" hidden="1" x14ac:dyDescent="0.25">
      <c r="A223" s="103"/>
      <c r="B223" s="103"/>
      <c r="C223" s="103"/>
    </row>
    <row r="224" spans="1:4" hidden="1" x14ac:dyDescent="0.25">
      <c r="A224" s="103"/>
      <c r="B224" s="103"/>
      <c r="C224" s="103"/>
    </row>
    <row r="225" spans="1:3" hidden="1" x14ac:dyDescent="0.25">
      <c r="A225" s="103"/>
      <c r="B225" s="103"/>
      <c r="C225" s="103"/>
    </row>
    <row r="226" spans="1:3" hidden="1" x14ac:dyDescent="0.25">
      <c r="A226" s="103"/>
      <c r="B226" s="103"/>
      <c r="C226" s="103"/>
    </row>
    <row r="227" spans="1:3" hidden="1" x14ac:dyDescent="0.25">
      <c r="A227" s="103"/>
      <c r="B227" s="103"/>
      <c r="C227" s="103"/>
    </row>
    <row r="228" spans="1:3" hidden="1" x14ac:dyDescent="0.25">
      <c r="A228" s="103"/>
      <c r="B228" s="103"/>
      <c r="C228" s="103"/>
    </row>
    <row r="229" spans="1:3" hidden="1" x14ac:dyDescent="0.25">
      <c r="A229" s="103"/>
      <c r="B229" s="103"/>
      <c r="C229" s="103"/>
    </row>
    <row r="230" spans="1:3" hidden="1" x14ac:dyDescent="0.25">
      <c r="A230" s="103"/>
      <c r="B230" s="103"/>
      <c r="C230" s="103"/>
    </row>
    <row r="231" spans="1:3" hidden="1" x14ac:dyDescent="0.25">
      <c r="A231" s="103"/>
      <c r="B231" s="103"/>
      <c r="C231" s="103"/>
    </row>
    <row r="232" spans="1:3" hidden="1" x14ac:dyDescent="0.25">
      <c r="A232" s="100"/>
      <c r="B232" s="100"/>
      <c r="C232" s="100"/>
    </row>
    <row r="233" spans="1:3" hidden="1" x14ac:dyDescent="0.25">
      <c r="A233" s="100"/>
      <c r="B233" s="100"/>
      <c r="C233" s="100"/>
    </row>
    <row r="234" spans="1:3" hidden="1" x14ac:dyDescent="0.25">
      <c r="A234" s="100"/>
      <c r="B234" s="100"/>
      <c r="C234" s="100"/>
    </row>
  </sheetData>
  <sheetProtection algorithmName="SHA-512" hashValue="3cge4ZZoA/KIykQTGmHa+N39Qf2yyXSCDaG8HHhC05SxmlibDuT4kUMsmKT2ZPvKvxVey3NmW6eR7L6up2mKJw==" saltValue="otbvLpDHlkknbODDp6w5OQ==" spinCount="100000" sheet="1" scenarios="1"/>
  <mergeCells count="5">
    <mergeCell ref="A211:D211"/>
    <mergeCell ref="A207:D207"/>
    <mergeCell ref="A210:D210"/>
    <mergeCell ref="A1:D1"/>
    <mergeCell ref="A2:D2"/>
  </mergeCells>
  <conditionalFormatting sqref="A1:C1">
    <cfRule type="cellIs" dxfId="8" priority="1" stopIfTrue="1" operator="equal">
      <formula>"PLEASE ENTER YOUR NAME HERE"</formula>
    </cfRule>
  </conditionalFormatting>
  <dataValidations count="1">
    <dataValidation allowBlank="1" showErrorMessage="1" errorTitle="Invalid Input!" error="Please enter a positive number for loan amount!" sqref="A5:D204" xr:uid="{485C3525-7BF9-4E48-912E-66EC475FA350}"/>
  </dataValidations>
  <printOptions horizontalCentered="1"/>
  <pageMargins left="0.25" right="0.25" top="0.75" bottom="0.75" header="0.3" footer="0.3"/>
  <pageSetup paperSize="9" fitToHeight="0" orientation="portrait" r:id="rId1"/>
  <headerFooter>
    <oddHeader>&amp;L&amp;"Verdana,Bold"&amp;D&amp;C&amp;"Verdana,Bold"TDS on Dividend and other income&amp;R&amp;"Verdana,Bold"Page &amp;P of &amp;N</oddHeader>
    <oddFooter>&amp;L&amp;"Tahoma,Regular"Free Download from http://taxcalc.ynithya.com/&amp;C&amp;"Tahoma,Regular"(Version 26.1)&amp;R&amp;"Tahoma,Regular"© 1997-2024, Nithyanand Yeswanth</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0"/>
    <pageSetUpPr fitToPage="1"/>
  </sheetPr>
  <dimension ref="A1:Q191"/>
  <sheetViews>
    <sheetView showGridLines="0" zoomScaleNormal="100" workbookViewId="0">
      <pane ySplit="6" topLeftCell="A7" activePane="bottomLeft" state="frozen"/>
      <selection pane="bottomLeft" activeCell="A7" sqref="A7"/>
    </sheetView>
  </sheetViews>
  <sheetFormatPr defaultColWidth="0" defaultRowHeight="12.75" zeroHeight="1" x14ac:dyDescent="0.25"/>
  <cols>
    <col min="1" max="1" width="30.83203125" style="72" customWidth="1"/>
    <col min="2" max="2" width="8.83203125" style="72" customWidth="1"/>
    <col min="3" max="4" width="10.83203125" style="72" customWidth="1"/>
    <col min="5" max="5" width="12.83203125" style="72" customWidth="1"/>
    <col min="6" max="7" width="10.83203125" style="72" customWidth="1"/>
    <col min="8" max="9" width="12.83203125" style="72" customWidth="1"/>
    <col min="10" max="10" width="6.83203125" style="100" customWidth="1"/>
    <col min="11" max="11" width="0.33203125" style="72" customWidth="1"/>
    <col min="12" max="13" width="10.83203125" style="72" hidden="1" customWidth="1"/>
    <col min="14" max="14" width="14" style="72" hidden="1" customWidth="1"/>
    <col min="15" max="16384" width="10.83203125" style="72" hidden="1"/>
  </cols>
  <sheetData>
    <row r="1" spans="1:17" s="33" customFormat="1" ht="30" customHeight="1" x14ac:dyDescent="0.25">
      <c r="A1" s="388" t="str">
        <f>Instructions!B7</f>
        <v>PLEASE ENTER YOUR NAME HERE</v>
      </c>
      <c r="B1" s="388"/>
      <c r="C1" s="388"/>
      <c r="D1" s="388"/>
      <c r="E1" s="388"/>
      <c r="F1" s="388"/>
      <c r="G1" s="388"/>
      <c r="H1" s="388"/>
      <c r="I1" s="388"/>
      <c r="J1" s="388"/>
    </row>
    <row r="2" spans="1:17" ht="18" customHeight="1" x14ac:dyDescent="0.25">
      <c r="A2" s="389" t="s">
        <v>335</v>
      </c>
      <c r="B2" s="389"/>
      <c r="C2" s="389"/>
      <c r="D2" s="389"/>
      <c r="E2" s="389"/>
      <c r="F2" s="389"/>
      <c r="G2" s="389"/>
      <c r="H2" s="389"/>
      <c r="I2" s="389"/>
      <c r="J2" s="389"/>
      <c r="P2" s="72" t="s">
        <v>224</v>
      </c>
      <c r="Q2" s="128">
        <v>0.1</v>
      </c>
    </row>
    <row r="3" spans="1:17" x14ac:dyDescent="0.25">
      <c r="A3" s="393" t="s">
        <v>267</v>
      </c>
      <c r="B3" s="394"/>
      <c r="C3" s="394"/>
      <c r="D3" s="394"/>
      <c r="E3" s="394"/>
      <c r="F3" s="394"/>
      <c r="G3" s="394"/>
      <c r="H3" s="394"/>
      <c r="I3" s="394"/>
      <c r="J3" s="394"/>
      <c r="P3" s="72" t="s">
        <v>223</v>
      </c>
      <c r="Q3" s="128">
        <v>0.15</v>
      </c>
    </row>
    <row r="4" spans="1:17" x14ac:dyDescent="0.25">
      <c r="B4" s="84"/>
      <c r="C4" s="84"/>
      <c r="D4" s="84"/>
      <c r="E4" s="84"/>
      <c r="F4" s="84"/>
      <c r="G4" s="84"/>
      <c r="H4" s="75"/>
      <c r="I4" s="75"/>
    </row>
    <row r="5" spans="1:17" ht="12.75" customHeight="1" x14ac:dyDescent="0.25">
      <c r="A5" s="398" t="s">
        <v>339</v>
      </c>
      <c r="B5" s="397" t="s">
        <v>261</v>
      </c>
      <c r="C5" s="396" t="s">
        <v>210</v>
      </c>
      <c r="D5" s="396"/>
      <c r="E5" s="396"/>
      <c r="F5" s="396" t="s">
        <v>211</v>
      </c>
      <c r="G5" s="396"/>
      <c r="H5" s="396"/>
      <c r="I5" s="397" t="s">
        <v>212</v>
      </c>
      <c r="J5" s="395" t="s">
        <v>215</v>
      </c>
      <c r="P5" s="72" t="s">
        <v>213</v>
      </c>
      <c r="Q5" s="75">
        <f>Perquisites!P8</f>
        <v>45017</v>
      </c>
    </row>
    <row r="6" spans="1:17" x14ac:dyDescent="0.25">
      <c r="A6" s="398"/>
      <c r="B6" s="397"/>
      <c r="C6" s="221" t="s">
        <v>208</v>
      </c>
      <c r="D6" s="221" t="s">
        <v>262</v>
      </c>
      <c r="E6" s="221" t="s">
        <v>209</v>
      </c>
      <c r="F6" s="221" t="s">
        <v>208</v>
      </c>
      <c r="G6" s="221" t="s">
        <v>262</v>
      </c>
      <c r="H6" s="221" t="s">
        <v>209</v>
      </c>
      <c r="I6" s="397"/>
      <c r="J6" s="396"/>
      <c r="L6" s="130" t="s">
        <v>227</v>
      </c>
      <c r="M6" s="130" t="s">
        <v>228</v>
      </c>
      <c r="N6" s="130" t="s">
        <v>232</v>
      </c>
      <c r="P6" s="72" t="s">
        <v>214</v>
      </c>
      <c r="Q6" s="75">
        <f>DATE(YEAR(Q5)+1,3,31)</f>
        <v>45382</v>
      </c>
    </row>
    <row r="7" spans="1:17" x14ac:dyDescent="0.25">
      <c r="A7" s="133"/>
      <c r="B7" s="134"/>
      <c r="C7" s="135"/>
      <c r="D7" s="135"/>
      <c r="E7" s="136"/>
      <c r="F7" s="135"/>
      <c r="G7" s="135"/>
      <c r="H7" s="136"/>
      <c r="I7" s="222">
        <f>B7*((F7-G7)-(C7+D7))</f>
        <v>0</v>
      </c>
      <c r="J7" s="223" t="str">
        <f t="shared" ref="J7:J52" si="0">IF(H7="","",IF(H7-E7&gt;365,"LT","ST"))</f>
        <v/>
      </c>
      <c r="L7" s="131">
        <f>IF(J7="LT",I7,0)</f>
        <v>0</v>
      </c>
      <c r="M7" s="131">
        <f>IF(J7="ST",I7,0)</f>
        <v>0</v>
      </c>
      <c r="N7" s="75">
        <f>MAX($Q$5,E7)</f>
        <v>45017</v>
      </c>
    </row>
    <row r="8" spans="1:17" x14ac:dyDescent="0.25">
      <c r="A8" s="133"/>
      <c r="B8" s="134"/>
      <c r="C8" s="135"/>
      <c r="D8" s="135"/>
      <c r="E8" s="136"/>
      <c r="F8" s="135"/>
      <c r="G8" s="135"/>
      <c r="H8" s="136"/>
      <c r="I8" s="222">
        <f t="shared" ref="I8:I45" si="1">B8*((F8-G8)-(C8+D8))</f>
        <v>0</v>
      </c>
      <c r="J8" s="223" t="str">
        <f t="shared" si="0"/>
        <v/>
      </c>
      <c r="L8" s="131">
        <f t="shared" ref="L8:L121" si="2">IF(J8="LT",I8,0)</f>
        <v>0</v>
      </c>
      <c r="M8" s="131">
        <f t="shared" ref="M8:M121" si="3">IF(J8="ST",I8,0)</f>
        <v>0</v>
      </c>
      <c r="N8" s="75">
        <f t="shared" ref="N8:N121" si="4">MAX($Q$5,E8)</f>
        <v>45017</v>
      </c>
    </row>
    <row r="9" spans="1:17" x14ac:dyDescent="0.25">
      <c r="A9" s="133"/>
      <c r="B9" s="134"/>
      <c r="C9" s="135"/>
      <c r="D9" s="135"/>
      <c r="E9" s="136"/>
      <c r="F9" s="135"/>
      <c r="G9" s="135"/>
      <c r="H9" s="136"/>
      <c r="I9" s="222">
        <f t="shared" si="1"/>
        <v>0</v>
      </c>
      <c r="J9" s="223" t="str">
        <f t="shared" si="0"/>
        <v/>
      </c>
      <c r="L9" s="131">
        <f t="shared" si="2"/>
        <v>0</v>
      </c>
      <c r="M9" s="131">
        <f t="shared" si="3"/>
        <v>0</v>
      </c>
      <c r="N9" s="75">
        <f t="shared" si="4"/>
        <v>45017</v>
      </c>
    </row>
    <row r="10" spans="1:17" x14ac:dyDescent="0.25">
      <c r="A10" s="133"/>
      <c r="B10" s="134"/>
      <c r="C10" s="135"/>
      <c r="D10" s="135"/>
      <c r="E10" s="136"/>
      <c r="F10" s="135"/>
      <c r="G10" s="135"/>
      <c r="H10" s="136"/>
      <c r="I10" s="222">
        <f t="shared" si="1"/>
        <v>0</v>
      </c>
      <c r="J10" s="223" t="str">
        <f t="shared" si="0"/>
        <v/>
      </c>
      <c r="L10" s="131">
        <f t="shared" si="2"/>
        <v>0</v>
      </c>
      <c r="M10" s="131">
        <f t="shared" si="3"/>
        <v>0</v>
      </c>
      <c r="N10" s="75">
        <f t="shared" si="4"/>
        <v>45017</v>
      </c>
    </row>
    <row r="11" spans="1:17" x14ac:dyDescent="0.25">
      <c r="A11" s="133"/>
      <c r="B11" s="134"/>
      <c r="C11" s="135"/>
      <c r="D11" s="135"/>
      <c r="E11" s="136"/>
      <c r="F11" s="135"/>
      <c r="G11" s="135"/>
      <c r="H11" s="136"/>
      <c r="I11" s="222">
        <f t="shared" si="1"/>
        <v>0</v>
      </c>
      <c r="J11" s="223" t="str">
        <f t="shared" si="0"/>
        <v/>
      </c>
      <c r="L11" s="131">
        <f t="shared" si="2"/>
        <v>0</v>
      </c>
      <c r="M11" s="131">
        <f t="shared" si="3"/>
        <v>0</v>
      </c>
      <c r="N11" s="75">
        <f t="shared" si="4"/>
        <v>45017</v>
      </c>
    </row>
    <row r="12" spans="1:17" x14ac:dyDescent="0.25">
      <c r="A12" s="133"/>
      <c r="B12" s="134"/>
      <c r="C12" s="135"/>
      <c r="D12" s="135"/>
      <c r="E12" s="136"/>
      <c r="F12" s="135"/>
      <c r="G12" s="135"/>
      <c r="H12" s="136"/>
      <c r="I12" s="222">
        <f t="shared" si="1"/>
        <v>0</v>
      </c>
      <c r="J12" s="223" t="str">
        <f t="shared" si="0"/>
        <v/>
      </c>
      <c r="L12" s="131">
        <f t="shared" ref="L12:L43" si="5">IF(J12="LT",I12,0)</f>
        <v>0</v>
      </c>
      <c r="M12" s="131">
        <f t="shared" ref="M12:M43" si="6">IF(J12="ST",I12,0)</f>
        <v>0</v>
      </c>
      <c r="N12" s="75">
        <f t="shared" ref="N12:N43" si="7">MAX($Q$5,E12)</f>
        <v>45017</v>
      </c>
    </row>
    <row r="13" spans="1:17" x14ac:dyDescent="0.25">
      <c r="A13" s="133"/>
      <c r="B13" s="134"/>
      <c r="C13" s="135"/>
      <c r="D13" s="135"/>
      <c r="E13" s="136"/>
      <c r="F13" s="135"/>
      <c r="G13" s="135"/>
      <c r="H13" s="136"/>
      <c r="I13" s="222">
        <f t="shared" si="1"/>
        <v>0</v>
      </c>
      <c r="J13" s="223" t="str">
        <f t="shared" si="0"/>
        <v/>
      </c>
      <c r="L13" s="131">
        <f t="shared" si="5"/>
        <v>0</v>
      </c>
      <c r="M13" s="131">
        <f t="shared" si="6"/>
        <v>0</v>
      </c>
      <c r="N13" s="75">
        <f t="shared" si="7"/>
        <v>45017</v>
      </c>
    </row>
    <row r="14" spans="1:17" x14ac:dyDescent="0.25">
      <c r="A14" s="133"/>
      <c r="B14" s="134"/>
      <c r="C14" s="135"/>
      <c r="D14" s="135"/>
      <c r="E14" s="136"/>
      <c r="F14" s="135"/>
      <c r="G14" s="135"/>
      <c r="H14" s="136"/>
      <c r="I14" s="222">
        <f t="shared" si="1"/>
        <v>0</v>
      </c>
      <c r="J14" s="223" t="str">
        <f t="shared" si="0"/>
        <v/>
      </c>
      <c r="L14" s="131">
        <f t="shared" si="5"/>
        <v>0</v>
      </c>
      <c r="M14" s="131">
        <f t="shared" si="6"/>
        <v>0</v>
      </c>
      <c r="N14" s="75">
        <f t="shared" si="7"/>
        <v>45017</v>
      </c>
    </row>
    <row r="15" spans="1:17" x14ac:dyDescent="0.25">
      <c r="A15" s="133"/>
      <c r="B15" s="134"/>
      <c r="C15" s="135"/>
      <c r="D15" s="135"/>
      <c r="E15" s="136"/>
      <c r="F15" s="135"/>
      <c r="G15" s="135"/>
      <c r="H15" s="136"/>
      <c r="I15" s="222">
        <f t="shared" si="1"/>
        <v>0</v>
      </c>
      <c r="J15" s="223" t="str">
        <f t="shared" si="0"/>
        <v/>
      </c>
      <c r="L15" s="131">
        <f t="shared" si="5"/>
        <v>0</v>
      </c>
      <c r="M15" s="131">
        <f t="shared" si="6"/>
        <v>0</v>
      </c>
      <c r="N15" s="75">
        <f t="shared" si="7"/>
        <v>45017</v>
      </c>
    </row>
    <row r="16" spans="1:17" x14ac:dyDescent="0.25">
      <c r="A16" s="133"/>
      <c r="B16" s="134"/>
      <c r="C16" s="135"/>
      <c r="D16" s="135"/>
      <c r="E16" s="136"/>
      <c r="F16" s="135"/>
      <c r="G16" s="135"/>
      <c r="H16" s="136"/>
      <c r="I16" s="222">
        <f t="shared" si="1"/>
        <v>0</v>
      </c>
      <c r="J16" s="223" t="str">
        <f t="shared" si="0"/>
        <v/>
      </c>
      <c r="L16" s="131">
        <f t="shared" si="5"/>
        <v>0</v>
      </c>
      <c r="M16" s="131">
        <f t="shared" si="6"/>
        <v>0</v>
      </c>
      <c r="N16" s="75">
        <f t="shared" si="7"/>
        <v>45017</v>
      </c>
    </row>
    <row r="17" spans="1:14" x14ac:dyDescent="0.25">
      <c r="A17" s="133"/>
      <c r="B17" s="134"/>
      <c r="C17" s="135"/>
      <c r="D17" s="135"/>
      <c r="E17" s="136"/>
      <c r="F17" s="135"/>
      <c r="G17" s="135"/>
      <c r="H17" s="136"/>
      <c r="I17" s="222">
        <f t="shared" si="1"/>
        <v>0</v>
      </c>
      <c r="J17" s="223" t="str">
        <f t="shared" si="0"/>
        <v/>
      </c>
      <c r="L17" s="131">
        <f t="shared" si="5"/>
        <v>0</v>
      </c>
      <c r="M17" s="131">
        <f t="shared" si="6"/>
        <v>0</v>
      </c>
      <c r="N17" s="75">
        <f t="shared" si="7"/>
        <v>45017</v>
      </c>
    </row>
    <row r="18" spans="1:14" x14ac:dyDescent="0.25">
      <c r="A18" s="133"/>
      <c r="B18" s="134"/>
      <c r="C18" s="135"/>
      <c r="D18" s="135"/>
      <c r="E18" s="136"/>
      <c r="F18" s="135"/>
      <c r="G18" s="135"/>
      <c r="H18" s="136"/>
      <c r="I18" s="222">
        <f t="shared" si="1"/>
        <v>0</v>
      </c>
      <c r="J18" s="223" t="str">
        <f t="shared" si="0"/>
        <v/>
      </c>
      <c r="L18" s="131">
        <f t="shared" si="5"/>
        <v>0</v>
      </c>
      <c r="M18" s="131">
        <f t="shared" si="6"/>
        <v>0</v>
      </c>
      <c r="N18" s="75">
        <f t="shared" si="7"/>
        <v>45017</v>
      </c>
    </row>
    <row r="19" spans="1:14" x14ac:dyDescent="0.25">
      <c r="A19" s="133"/>
      <c r="B19" s="134"/>
      <c r="C19" s="135"/>
      <c r="D19" s="135"/>
      <c r="E19" s="136"/>
      <c r="F19" s="135"/>
      <c r="G19" s="135"/>
      <c r="H19" s="136"/>
      <c r="I19" s="222">
        <f t="shared" si="1"/>
        <v>0</v>
      </c>
      <c r="J19" s="223" t="str">
        <f t="shared" si="0"/>
        <v/>
      </c>
      <c r="L19" s="131">
        <f t="shared" si="5"/>
        <v>0</v>
      </c>
      <c r="M19" s="131">
        <f t="shared" si="6"/>
        <v>0</v>
      </c>
      <c r="N19" s="75">
        <f t="shared" si="7"/>
        <v>45017</v>
      </c>
    </row>
    <row r="20" spans="1:14" x14ac:dyDescent="0.25">
      <c r="A20" s="133"/>
      <c r="B20" s="134"/>
      <c r="C20" s="135"/>
      <c r="D20" s="135"/>
      <c r="E20" s="136"/>
      <c r="F20" s="135"/>
      <c r="G20" s="135"/>
      <c r="H20" s="136"/>
      <c r="I20" s="222">
        <f t="shared" si="1"/>
        <v>0</v>
      </c>
      <c r="J20" s="223" t="str">
        <f t="shared" si="0"/>
        <v/>
      </c>
      <c r="L20" s="131">
        <f t="shared" si="5"/>
        <v>0</v>
      </c>
      <c r="M20" s="131">
        <f t="shared" si="6"/>
        <v>0</v>
      </c>
      <c r="N20" s="75">
        <f t="shared" si="7"/>
        <v>45017</v>
      </c>
    </row>
    <row r="21" spans="1:14" x14ac:dyDescent="0.25">
      <c r="A21" s="133"/>
      <c r="B21" s="134"/>
      <c r="C21" s="135"/>
      <c r="D21" s="135"/>
      <c r="E21" s="136"/>
      <c r="F21" s="135"/>
      <c r="G21" s="135"/>
      <c r="H21" s="136"/>
      <c r="I21" s="222">
        <f t="shared" si="1"/>
        <v>0</v>
      </c>
      <c r="J21" s="223" t="str">
        <f t="shared" si="0"/>
        <v/>
      </c>
      <c r="L21" s="131">
        <f t="shared" si="5"/>
        <v>0</v>
      </c>
      <c r="M21" s="131">
        <f t="shared" si="6"/>
        <v>0</v>
      </c>
      <c r="N21" s="75">
        <f t="shared" si="7"/>
        <v>45017</v>
      </c>
    </row>
    <row r="22" spans="1:14" x14ac:dyDescent="0.25">
      <c r="A22" s="133"/>
      <c r="B22" s="134"/>
      <c r="C22" s="135"/>
      <c r="D22" s="135"/>
      <c r="E22" s="136"/>
      <c r="F22" s="135"/>
      <c r="G22" s="135"/>
      <c r="H22" s="136"/>
      <c r="I22" s="222">
        <f t="shared" si="1"/>
        <v>0</v>
      </c>
      <c r="J22" s="223" t="str">
        <f t="shared" si="0"/>
        <v/>
      </c>
      <c r="L22" s="131">
        <f t="shared" si="5"/>
        <v>0</v>
      </c>
      <c r="M22" s="131">
        <f t="shared" si="6"/>
        <v>0</v>
      </c>
      <c r="N22" s="75">
        <f t="shared" si="7"/>
        <v>45017</v>
      </c>
    </row>
    <row r="23" spans="1:14" x14ac:dyDescent="0.25">
      <c r="A23" s="133"/>
      <c r="B23" s="134"/>
      <c r="C23" s="135"/>
      <c r="D23" s="135"/>
      <c r="E23" s="136"/>
      <c r="F23" s="135"/>
      <c r="G23" s="135"/>
      <c r="H23" s="136"/>
      <c r="I23" s="222">
        <f t="shared" si="1"/>
        <v>0</v>
      </c>
      <c r="J23" s="223" t="str">
        <f t="shared" si="0"/>
        <v/>
      </c>
      <c r="L23" s="131">
        <f t="shared" si="5"/>
        <v>0</v>
      </c>
      <c r="M23" s="131">
        <f t="shared" si="6"/>
        <v>0</v>
      </c>
      <c r="N23" s="75">
        <f t="shared" si="7"/>
        <v>45017</v>
      </c>
    </row>
    <row r="24" spans="1:14" x14ac:dyDescent="0.25">
      <c r="A24" s="133"/>
      <c r="B24" s="134"/>
      <c r="C24" s="135"/>
      <c r="D24" s="135"/>
      <c r="E24" s="136"/>
      <c r="F24" s="135"/>
      <c r="G24" s="135"/>
      <c r="H24" s="136"/>
      <c r="I24" s="222">
        <f t="shared" si="1"/>
        <v>0</v>
      </c>
      <c r="J24" s="223" t="str">
        <f t="shared" si="0"/>
        <v/>
      </c>
      <c r="L24" s="131">
        <f t="shared" si="5"/>
        <v>0</v>
      </c>
      <c r="M24" s="131">
        <f t="shared" si="6"/>
        <v>0</v>
      </c>
      <c r="N24" s="75">
        <f t="shared" si="7"/>
        <v>45017</v>
      </c>
    </row>
    <row r="25" spans="1:14" x14ac:dyDescent="0.25">
      <c r="A25" s="133"/>
      <c r="B25" s="134"/>
      <c r="C25" s="135"/>
      <c r="D25" s="135"/>
      <c r="E25" s="136"/>
      <c r="F25" s="135"/>
      <c r="G25" s="135"/>
      <c r="H25" s="136"/>
      <c r="I25" s="222">
        <f t="shared" si="1"/>
        <v>0</v>
      </c>
      <c r="J25" s="223" t="str">
        <f t="shared" si="0"/>
        <v/>
      </c>
      <c r="L25" s="131">
        <f t="shared" si="5"/>
        <v>0</v>
      </c>
      <c r="M25" s="131">
        <f t="shared" si="6"/>
        <v>0</v>
      </c>
      <c r="N25" s="75">
        <f t="shared" si="7"/>
        <v>45017</v>
      </c>
    </row>
    <row r="26" spans="1:14" x14ac:dyDescent="0.25">
      <c r="A26" s="133"/>
      <c r="B26" s="134"/>
      <c r="C26" s="135"/>
      <c r="D26" s="135"/>
      <c r="E26" s="136"/>
      <c r="F26" s="135"/>
      <c r="G26" s="135"/>
      <c r="H26" s="136"/>
      <c r="I26" s="222">
        <f t="shared" si="1"/>
        <v>0</v>
      </c>
      <c r="J26" s="223" t="str">
        <f t="shared" si="0"/>
        <v/>
      </c>
      <c r="L26" s="131">
        <f t="shared" si="5"/>
        <v>0</v>
      </c>
      <c r="M26" s="131">
        <f t="shared" si="6"/>
        <v>0</v>
      </c>
      <c r="N26" s="75">
        <f t="shared" si="7"/>
        <v>45017</v>
      </c>
    </row>
    <row r="27" spans="1:14" x14ac:dyDescent="0.25">
      <c r="A27" s="133"/>
      <c r="B27" s="134"/>
      <c r="C27" s="135"/>
      <c r="D27" s="135"/>
      <c r="E27" s="136"/>
      <c r="F27" s="135"/>
      <c r="G27" s="135"/>
      <c r="H27" s="136"/>
      <c r="I27" s="222">
        <f t="shared" si="1"/>
        <v>0</v>
      </c>
      <c r="J27" s="223" t="str">
        <f t="shared" si="0"/>
        <v/>
      </c>
      <c r="L27" s="131">
        <f t="shared" si="5"/>
        <v>0</v>
      </c>
      <c r="M27" s="131">
        <f t="shared" si="6"/>
        <v>0</v>
      </c>
      <c r="N27" s="75">
        <f t="shared" si="7"/>
        <v>45017</v>
      </c>
    </row>
    <row r="28" spans="1:14" x14ac:dyDescent="0.25">
      <c r="A28" s="133"/>
      <c r="B28" s="134"/>
      <c r="C28" s="135"/>
      <c r="D28" s="135"/>
      <c r="E28" s="136"/>
      <c r="F28" s="135"/>
      <c r="G28" s="135"/>
      <c r="H28" s="136"/>
      <c r="I28" s="222">
        <f t="shared" si="1"/>
        <v>0</v>
      </c>
      <c r="J28" s="223" t="str">
        <f t="shared" si="0"/>
        <v/>
      </c>
      <c r="L28" s="131">
        <f t="shared" si="5"/>
        <v>0</v>
      </c>
      <c r="M28" s="131">
        <f t="shared" si="6"/>
        <v>0</v>
      </c>
      <c r="N28" s="75">
        <f t="shared" si="7"/>
        <v>45017</v>
      </c>
    </row>
    <row r="29" spans="1:14" x14ac:dyDescent="0.25">
      <c r="A29" s="133"/>
      <c r="B29" s="134"/>
      <c r="C29" s="135"/>
      <c r="D29" s="135"/>
      <c r="E29" s="136"/>
      <c r="F29" s="135"/>
      <c r="G29" s="135"/>
      <c r="H29" s="136"/>
      <c r="I29" s="222">
        <f t="shared" si="1"/>
        <v>0</v>
      </c>
      <c r="J29" s="223" t="str">
        <f t="shared" si="0"/>
        <v/>
      </c>
      <c r="L29" s="131">
        <f t="shared" si="5"/>
        <v>0</v>
      </c>
      <c r="M29" s="131">
        <f t="shared" si="6"/>
        <v>0</v>
      </c>
      <c r="N29" s="75">
        <f t="shared" si="7"/>
        <v>45017</v>
      </c>
    </row>
    <row r="30" spans="1:14" x14ac:dyDescent="0.25">
      <c r="A30" s="133"/>
      <c r="B30" s="134"/>
      <c r="C30" s="135"/>
      <c r="D30" s="135"/>
      <c r="E30" s="136"/>
      <c r="F30" s="135"/>
      <c r="G30" s="135"/>
      <c r="H30" s="136"/>
      <c r="I30" s="222">
        <f t="shared" si="1"/>
        <v>0</v>
      </c>
      <c r="J30" s="223" t="str">
        <f t="shared" si="0"/>
        <v/>
      </c>
      <c r="L30" s="131">
        <f t="shared" si="5"/>
        <v>0</v>
      </c>
      <c r="M30" s="131">
        <f t="shared" si="6"/>
        <v>0</v>
      </c>
      <c r="N30" s="75">
        <f t="shared" si="7"/>
        <v>45017</v>
      </c>
    </row>
    <row r="31" spans="1:14" x14ac:dyDescent="0.25">
      <c r="A31" s="133"/>
      <c r="B31" s="134"/>
      <c r="C31" s="135"/>
      <c r="D31" s="135"/>
      <c r="E31" s="136"/>
      <c r="F31" s="135"/>
      <c r="G31" s="135"/>
      <c r="H31" s="136"/>
      <c r="I31" s="222">
        <f t="shared" si="1"/>
        <v>0</v>
      </c>
      <c r="J31" s="223" t="str">
        <f t="shared" si="0"/>
        <v/>
      </c>
      <c r="L31" s="131">
        <f t="shared" si="5"/>
        <v>0</v>
      </c>
      <c r="M31" s="131">
        <f t="shared" si="6"/>
        <v>0</v>
      </c>
      <c r="N31" s="75">
        <f t="shared" si="7"/>
        <v>45017</v>
      </c>
    </row>
    <row r="32" spans="1:14" x14ac:dyDescent="0.25">
      <c r="A32" s="133"/>
      <c r="B32" s="134"/>
      <c r="C32" s="135"/>
      <c r="D32" s="135"/>
      <c r="E32" s="136"/>
      <c r="F32" s="135"/>
      <c r="G32" s="135"/>
      <c r="H32" s="136"/>
      <c r="I32" s="222">
        <f t="shared" si="1"/>
        <v>0</v>
      </c>
      <c r="J32" s="223" t="str">
        <f t="shared" si="0"/>
        <v/>
      </c>
      <c r="L32" s="131">
        <f t="shared" si="5"/>
        <v>0</v>
      </c>
      <c r="M32" s="131">
        <f t="shared" si="6"/>
        <v>0</v>
      </c>
      <c r="N32" s="75">
        <f t="shared" si="7"/>
        <v>45017</v>
      </c>
    </row>
    <row r="33" spans="1:14" x14ac:dyDescent="0.25">
      <c r="A33" s="133"/>
      <c r="B33" s="134"/>
      <c r="C33" s="135"/>
      <c r="D33" s="135"/>
      <c r="E33" s="136"/>
      <c r="F33" s="135"/>
      <c r="G33" s="135"/>
      <c r="H33" s="136"/>
      <c r="I33" s="222">
        <f t="shared" si="1"/>
        <v>0</v>
      </c>
      <c r="J33" s="223" t="str">
        <f t="shared" si="0"/>
        <v/>
      </c>
      <c r="L33" s="131">
        <f t="shared" si="5"/>
        <v>0</v>
      </c>
      <c r="M33" s="131">
        <f t="shared" si="6"/>
        <v>0</v>
      </c>
      <c r="N33" s="75">
        <f t="shared" si="7"/>
        <v>45017</v>
      </c>
    </row>
    <row r="34" spans="1:14" x14ac:dyDescent="0.25">
      <c r="A34" s="133"/>
      <c r="B34" s="134"/>
      <c r="C34" s="135"/>
      <c r="D34" s="135"/>
      <c r="E34" s="136"/>
      <c r="F34" s="135"/>
      <c r="G34" s="135"/>
      <c r="H34" s="136"/>
      <c r="I34" s="222">
        <f t="shared" si="1"/>
        <v>0</v>
      </c>
      <c r="J34" s="223" t="str">
        <f t="shared" si="0"/>
        <v/>
      </c>
      <c r="L34" s="131">
        <f t="shared" si="5"/>
        <v>0</v>
      </c>
      <c r="M34" s="131">
        <f t="shared" si="6"/>
        <v>0</v>
      </c>
      <c r="N34" s="75">
        <f t="shared" si="7"/>
        <v>45017</v>
      </c>
    </row>
    <row r="35" spans="1:14" x14ac:dyDescent="0.25">
      <c r="A35" s="133"/>
      <c r="B35" s="134"/>
      <c r="C35" s="135"/>
      <c r="D35" s="135"/>
      <c r="E35" s="136"/>
      <c r="F35" s="135"/>
      <c r="G35" s="135"/>
      <c r="H35" s="136"/>
      <c r="I35" s="222">
        <f t="shared" si="1"/>
        <v>0</v>
      </c>
      <c r="J35" s="223" t="str">
        <f t="shared" si="0"/>
        <v/>
      </c>
      <c r="L35" s="131">
        <f t="shared" si="5"/>
        <v>0</v>
      </c>
      <c r="M35" s="131">
        <f t="shared" si="6"/>
        <v>0</v>
      </c>
      <c r="N35" s="75">
        <f t="shared" si="7"/>
        <v>45017</v>
      </c>
    </row>
    <row r="36" spans="1:14" x14ac:dyDescent="0.25">
      <c r="A36" s="133"/>
      <c r="B36" s="134"/>
      <c r="C36" s="135"/>
      <c r="D36" s="135"/>
      <c r="E36" s="136"/>
      <c r="F36" s="135"/>
      <c r="G36" s="135"/>
      <c r="H36" s="136"/>
      <c r="I36" s="222">
        <f t="shared" si="1"/>
        <v>0</v>
      </c>
      <c r="J36" s="223" t="str">
        <f t="shared" si="0"/>
        <v/>
      </c>
      <c r="L36" s="131">
        <f t="shared" si="5"/>
        <v>0</v>
      </c>
      <c r="M36" s="131">
        <f t="shared" si="6"/>
        <v>0</v>
      </c>
      <c r="N36" s="75">
        <f t="shared" si="7"/>
        <v>45017</v>
      </c>
    </row>
    <row r="37" spans="1:14" x14ac:dyDescent="0.25">
      <c r="A37" s="133"/>
      <c r="B37" s="134"/>
      <c r="C37" s="135"/>
      <c r="D37" s="135"/>
      <c r="E37" s="136"/>
      <c r="F37" s="135"/>
      <c r="G37" s="135"/>
      <c r="H37" s="136"/>
      <c r="I37" s="222">
        <f t="shared" si="1"/>
        <v>0</v>
      </c>
      <c r="J37" s="223" t="str">
        <f t="shared" si="0"/>
        <v/>
      </c>
      <c r="L37" s="131">
        <f t="shared" si="5"/>
        <v>0</v>
      </c>
      <c r="M37" s="131">
        <f t="shared" si="6"/>
        <v>0</v>
      </c>
      <c r="N37" s="75">
        <f t="shared" si="7"/>
        <v>45017</v>
      </c>
    </row>
    <row r="38" spans="1:14" x14ac:dyDescent="0.25">
      <c r="A38" s="133"/>
      <c r="B38" s="134"/>
      <c r="C38" s="135"/>
      <c r="D38" s="135"/>
      <c r="E38" s="136"/>
      <c r="F38" s="135"/>
      <c r="G38" s="135"/>
      <c r="H38" s="136"/>
      <c r="I38" s="222">
        <f t="shared" si="1"/>
        <v>0</v>
      </c>
      <c r="J38" s="223" t="str">
        <f t="shared" si="0"/>
        <v/>
      </c>
      <c r="L38" s="131">
        <f t="shared" si="5"/>
        <v>0</v>
      </c>
      <c r="M38" s="131">
        <f t="shared" si="6"/>
        <v>0</v>
      </c>
      <c r="N38" s="75">
        <f t="shared" si="7"/>
        <v>45017</v>
      </c>
    </row>
    <row r="39" spans="1:14" x14ac:dyDescent="0.25">
      <c r="A39" s="133"/>
      <c r="B39" s="134"/>
      <c r="C39" s="135"/>
      <c r="D39" s="135"/>
      <c r="E39" s="136"/>
      <c r="F39" s="135"/>
      <c r="G39" s="135"/>
      <c r="H39" s="136"/>
      <c r="I39" s="222">
        <f t="shared" si="1"/>
        <v>0</v>
      </c>
      <c r="J39" s="223" t="str">
        <f t="shared" si="0"/>
        <v/>
      </c>
      <c r="L39" s="131">
        <f t="shared" si="5"/>
        <v>0</v>
      </c>
      <c r="M39" s="131">
        <f t="shared" si="6"/>
        <v>0</v>
      </c>
      <c r="N39" s="75">
        <f t="shared" si="7"/>
        <v>45017</v>
      </c>
    </row>
    <row r="40" spans="1:14" x14ac:dyDescent="0.25">
      <c r="A40" s="133"/>
      <c r="B40" s="134"/>
      <c r="C40" s="135"/>
      <c r="D40" s="135"/>
      <c r="E40" s="136"/>
      <c r="F40" s="135"/>
      <c r="G40" s="135"/>
      <c r="H40" s="136"/>
      <c r="I40" s="222">
        <f t="shared" si="1"/>
        <v>0</v>
      </c>
      <c r="J40" s="223" t="str">
        <f t="shared" si="0"/>
        <v/>
      </c>
      <c r="L40" s="131">
        <f t="shared" si="5"/>
        <v>0</v>
      </c>
      <c r="M40" s="131">
        <f t="shared" si="6"/>
        <v>0</v>
      </c>
      <c r="N40" s="75">
        <f t="shared" si="7"/>
        <v>45017</v>
      </c>
    </row>
    <row r="41" spans="1:14" x14ac:dyDescent="0.25">
      <c r="A41" s="133"/>
      <c r="B41" s="134"/>
      <c r="C41" s="135"/>
      <c r="D41" s="135"/>
      <c r="E41" s="136"/>
      <c r="F41" s="135"/>
      <c r="G41" s="135"/>
      <c r="H41" s="136"/>
      <c r="I41" s="222">
        <f t="shared" si="1"/>
        <v>0</v>
      </c>
      <c r="J41" s="223" t="str">
        <f t="shared" si="0"/>
        <v/>
      </c>
      <c r="L41" s="131">
        <f t="shared" si="5"/>
        <v>0</v>
      </c>
      <c r="M41" s="131">
        <f t="shared" si="6"/>
        <v>0</v>
      </c>
      <c r="N41" s="75">
        <f t="shared" si="7"/>
        <v>45017</v>
      </c>
    </row>
    <row r="42" spans="1:14" x14ac:dyDescent="0.25">
      <c r="A42" s="133"/>
      <c r="B42" s="134"/>
      <c r="C42" s="135"/>
      <c r="D42" s="135"/>
      <c r="E42" s="136"/>
      <c r="F42" s="135"/>
      <c r="G42" s="135"/>
      <c r="H42" s="136"/>
      <c r="I42" s="222">
        <f t="shared" si="1"/>
        <v>0</v>
      </c>
      <c r="J42" s="223" t="str">
        <f t="shared" si="0"/>
        <v/>
      </c>
      <c r="L42" s="131">
        <f t="shared" si="5"/>
        <v>0</v>
      </c>
      <c r="M42" s="131">
        <f t="shared" si="6"/>
        <v>0</v>
      </c>
      <c r="N42" s="75">
        <f t="shared" si="7"/>
        <v>45017</v>
      </c>
    </row>
    <row r="43" spans="1:14" x14ac:dyDescent="0.25">
      <c r="A43" s="133"/>
      <c r="B43" s="134"/>
      <c r="C43" s="135"/>
      <c r="D43" s="135"/>
      <c r="E43" s="136"/>
      <c r="F43" s="135"/>
      <c r="G43" s="135"/>
      <c r="H43" s="136"/>
      <c r="I43" s="222">
        <f t="shared" si="1"/>
        <v>0</v>
      </c>
      <c r="J43" s="223" t="str">
        <f t="shared" si="0"/>
        <v/>
      </c>
      <c r="L43" s="131">
        <f t="shared" si="5"/>
        <v>0</v>
      </c>
      <c r="M43" s="131">
        <f t="shared" si="6"/>
        <v>0</v>
      </c>
      <c r="N43" s="75">
        <f t="shared" si="7"/>
        <v>45017</v>
      </c>
    </row>
    <row r="44" spans="1:14" x14ac:dyDescent="0.25">
      <c r="A44" s="133"/>
      <c r="B44" s="134"/>
      <c r="C44" s="135"/>
      <c r="D44" s="135"/>
      <c r="E44" s="136"/>
      <c r="F44" s="135"/>
      <c r="G44" s="135"/>
      <c r="H44" s="136"/>
      <c r="I44" s="222">
        <f t="shared" si="1"/>
        <v>0</v>
      </c>
      <c r="J44" s="223" t="str">
        <f t="shared" si="0"/>
        <v/>
      </c>
      <c r="L44" s="131">
        <f t="shared" si="2"/>
        <v>0</v>
      </c>
      <c r="M44" s="131">
        <f t="shared" si="3"/>
        <v>0</v>
      </c>
      <c r="N44" s="75">
        <f t="shared" si="4"/>
        <v>45017</v>
      </c>
    </row>
    <row r="45" spans="1:14" x14ac:dyDescent="0.25">
      <c r="A45" s="133"/>
      <c r="B45" s="134"/>
      <c r="C45" s="135"/>
      <c r="D45" s="135"/>
      <c r="E45" s="136"/>
      <c r="F45" s="135"/>
      <c r="G45" s="135"/>
      <c r="H45" s="136"/>
      <c r="I45" s="222">
        <f t="shared" si="1"/>
        <v>0</v>
      </c>
      <c r="J45" s="223" t="str">
        <f t="shared" si="0"/>
        <v/>
      </c>
      <c r="L45" s="131">
        <f t="shared" si="2"/>
        <v>0</v>
      </c>
      <c r="M45" s="131">
        <f t="shared" si="3"/>
        <v>0</v>
      </c>
      <c r="N45" s="75">
        <f t="shared" si="4"/>
        <v>45017</v>
      </c>
    </row>
    <row r="46" spans="1:14" x14ac:dyDescent="0.25">
      <c r="A46" s="133"/>
      <c r="B46" s="134"/>
      <c r="C46" s="135"/>
      <c r="D46" s="135"/>
      <c r="E46" s="136"/>
      <c r="F46" s="135"/>
      <c r="G46" s="135"/>
      <c r="H46" s="136"/>
      <c r="I46" s="222">
        <f t="shared" ref="I46:I121" si="8">B46*((F46-G46)-(C46+D46))</f>
        <v>0</v>
      </c>
      <c r="J46" s="223" t="str">
        <f t="shared" si="0"/>
        <v/>
      </c>
      <c r="L46" s="131">
        <f t="shared" si="2"/>
        <v>0</v>
      </c>
      <c r="M46" s="131">
        <f t="shared" si="3"/>
        <v>0</v>
      </c>
      <c r="N46" s="75">
        <f t="shared" si="4"/>
        <v>45017</v>
      </c>
    </row>
    <row r="47" spans="1:14" x14ac:dyDescent="0.25">
      <c r="A47" s="133"/>
      <c r="B47" s="134"/>
      <c r="C47" s="135"/>
      <c r="D47" s="135"/>
      <c r="E47" s="136"/>
      <c r="F47" s="135"/>
      <c r="G47" s="135"/>
      <c r="H47" s="136"/>
      <c r="I47" s="222">
        <f t="shared" si="8"/>
        <v>0</v>
      </c>
      <c r="J47" s="223" t="str">
        <f t="shared" si="0"/>
        <v/>
      </c>
      <c r="L47" s="131">
        <f t="shared" si="2"/>
        <v>0</v>
      </c>
      <c r="M47" s="131">
        <f t="shared" si="3"/>
        <v>0</v>
      </c>
      <c r="N47" s="75">
        <f t="shared" si="4"/>
        <v>45017</v>
      </c>
    </row>
    <row r="48" spans="1:14" x14ac:dyDescent="0.25">
      <c r="A48" s="133"/>
      <c r="B48" s="134"/>
      <c r="C48" s="135"/>
      <c r="D48" s="135"/>
      <c r="E48" s="136"/>
      <c r="F48" s="135"/>
      <c r="G48" s="135"/>
      <c r="H48" s="136"/>
      <c r="I48" s="222">
        <f t="shared" si="8"/>
        <v>0</v>
      </c>
      <c r="J48" s="223" t="str">
        <f t="shared" si="0"/>
        <v/>
      </c>
      <c r="L48" s="131">
        <f t="shared" si="2"/>
        <v>0</v>
      </c>
      <c r="M48" s="131">
        <f t="shared" si="3"/>
        <v>0</v>
      </c>
      <c r="N48" s="75">
        <f t="shared" si="4"/>
        <v>45017</v>
      </c>
    </row>
    <row r="49" spans="1:14" x14ac:dyDescent="0.25">
      <c r="A49" s="133"/>
      <c r="B49" s="134"/>
      <c r="C49" s="135"/>
      <c r="D49" s="135"/>
      <c r="E49" s="136"/>
      <c r="F49" s="135"/>
      <c r="G49" s="135"/>
      <c r="H49" s="136"/>
      <c r="I49" s="222">
        <f t="shared" si="8"/>
        <v>0</v>
      </c>
      <c r="J49" s="223" t="str">
        <f t="shared" si="0"/>
        <v/>
      </c>
      <c r="L49" s="131">
        <f t="shared" si="2"/>
        <v>0</v>
      </c>
      <c r="M49" s="131">
        <f t="shared" si="3"/>
        <v>0</v>
      </c>
      <c r="N49" s="75">
        <f t="shared" si="4"/>
        <v>45017</v>
      </c>
    </row>
    <row r="50" spans="1:14" x14ac:dyDescent="0.25">
      <c r="A50" s="133"/>
      <c r="B50" s="134"/>
      <c r="C50" s="135"/>
      <c r="D50" s="135"/>
      <c r="E50" s="136"/>
      <c r="F50" s="135"/>
      <c r="G50" s="135"/>
      <c r="H50" s="136"/>
      <c r="I50" s="222">
        <f t="shared" si="8"/>
        <v>0</v>
      </c>
      <c r="J50" s="223" t="str">
        <f t="shared" si="0"/>
        <v/>
      </c>
      <c r="L50" s="131">
        <f t="shared" si="2"/>
        <v>0</v>
      </c>
      <c r="M50" s="131">
        <f t="shared" si="3"/>
        <v>0</v>
      </c>
      <c r="N50" s="75">
        <f t="shared" si="4"/>
        <v>45017</v>
      </c>
    </row>
    <row r="51" spans="1:14" x14ac:dyDescent="0.25">
      <c r="A51" s="133"/>
      <c r="B51" s="134"/>
      <c r="C51" s="135"/>
      <c r="D51" s="135"/>
      <c r="E51" s="136"/>
      <c r="F51" s="135"/>
      <c r="G51" s="135"/>
      <c r="H51" s="136"/>
      <c r="I51" s="222">
        <f t="shared" si="8"/>
        <v>0</v>
      </c>
      <c r="J51" s="223" t="str">
        <f t="shared" si="0"/>
        <v/>
      </c>
      <c r="L51" s="131">
        <f t="shared" si="2"/>
        <v>0</v>
      </c>
      <c r="M51" s="131">
        <f t="shared" si="3"/>
        <v>0</v>
      </c>
      <c r="N51" s="75">
        <f t="shared" si="4"/>
        <v>45017</v>
      </c>
    </row>
    <row r="52" spans="1:14" x14ac:dyDescent="0.25">
      <c r="A52" s="133"/>
      <c r="B52" s="134"/>
      <c r="C52" s="135"/>
      <c r="D52" s="135"/>
      <c r="E52" s="136"/>
      <c r="F52" s="135"/>
      <c r="G52" s="135"/>
      <c r="H52" s="136"/>
      <c r="I52" s="222">
        <f t="shared" si="8"/>
        <v>0</v>
      </c>
      <c r="J52" s="223" t="str">
        <f t="shared" si="0"/>
        <v/>
      </c>
      <c r="L52" s="131">
        <f t="shared" si="2"/>
        <v>0</v>
      </c>
      <c r="M52" s="131">
        <f t="shared" si="3"/>
        <v>0</v>
      </c>
      <c r="N52" s="75">
        <f t="shared" si="4"/>
        <v>45017</v>
      </c>
    </row>
    <row r="53" spans="1:14" x14ac:dyDescent="0.25">
      <c r="A53" s="133"/>
      <c r="B53" s="134"/>
      <c r="C53" s="135"/>
      <c r="D53" s="135"/>
      <c r="E53" s="136"/>
      <c r="F53" s="135"/>
      <c r="G53" s="135"/>
      <c r="H53" s="136"/>
      <c r="I53" s="222">
        <f t="shared" si="8"/>
        <v>0</v>
      </c>
      <c r="J53" s="223" t="str">
        <f t="shared" ref="J53:J59" si="9">IF(H53="","",IF(H53-E53&gt;365,"LT","ST"))</f>
        <v/>
      </c>
      <c r="L53" s="131">
        <f t="shared" si="2"/>
        <v>0</v>
      </c>
      <c r="M53" s="131">
        <f t="shared" si="3"/>
        <v>0</v>
      </c>
      <c r="N53" s="75">
        <f t="shared" si="4"/>
        <v>45017</v>
      </c>
    </row>
    <row r="54" spans="1:14" x14ac:dyDescent="0.25">
      <c r="A54" s="133"/>
      <c r="B54" s="134"/>
      <c r="C54" s="135"/>
      <c r="D54" s="135"/>
      <c r="E54" s="136"/>
      <c r="F54" s="135"/>
      <c r="G54" s="135"/>
      <c r="H54" s="136"/>
      <c r="I54" s="222">
        <f t="shared" si="8"/>
        <v>0</v>
      </c>
      <c r="J54" s="223" t="str">
        <f t="shared" si="9"/>
        <v/>
      </c>
      <c r="L54" s="131">
        <f t="shared" si="2"/>
        <v>0</v>
      </c>
      <c r="M54" s="131">
        <f t="shared" si="3"/>
        <v>0</v>
      </c>
      <c r="N54" s="75">
        <f t="shared" si="4"/>
        <v>45017</v>
      </c>
    </row>
    <row r="55" spans="1:14" x14ac:dyDescent="0.25">
      <c r="A55" s="133"/>
      <c r="B55" s="134"/>
      <c r="C55" s="135"/>
      <c r="D55" s="135"/>
      <c r="E55" s="136"/>
      <c r="F55" s="135"/>
      <c r="G55" s="135"/>
      <c r="H55" s="136"/>
      <c r="I55" s="222">
        <f t="shared" si="8"/>
        <v>0</v>
      </c>
      <c r="J55" s="223" t="str">
        <f t="shared" si="9"/>
        <v/>
      </c>
      <c r="L55" s="131">
        <f t="shared" si="2"/>
        <v>0</v>
      </c>
      <c r="M55" s="131">
        <f t="shared" si="3"/>
        <v>0</v>
      </c>
      <c r="N55" s="75">
        <f t="shared" si="4"/>
        <v>45017</v>
      </c>
    </row>
    <row r="56" spans="1:14" x14ac:dyDescent="0.25">
      <c r="A56" s="133"/>
      <c r="B56" s="134"/>
      <c r="C56" s="135"/>
      <c r="D56" s="135"/>
      <c r="E56" s="136"/>
      <c r="F56" s="135"/>
      <c r="G56" s="135"/>
      <c r="H56" s="136"/>
      <c r="I56" s="222">
        <f t="shared" si="8"/>
        <v>0</v>
      </c>
      <c r="J56" s="223" t="str">
        <f t="shared" si="9"/>
        <v/>
      </c>
      <c r="L56" s="131">
        <f t="shared" si="2"/>
        <v>0</v>
      </c>
      <c r="M56" s="131">
        <f t="shared" si="3"/>
        <v>0</v>
      </c>
      <c r="N56" s="75">
        <f t="shared" si="4"/>
        <v>45017</v>
      </c>
    </row>
    <row r="57" spans="1:14" x14ac:dyDescent="0.25">
      <c r="A57" s="133"/>
      <c r="B57" s="134"/>
      <c r="C57" s="135"/>
      <c r="D57" s="135"/>
      <c r="E57" s="136"/>
      <c r="F57" s="135"/>
      <c r="G57" s="135"/>
      <c r="H57" s="136"/>
      <c r="I57" s="222">
        <f t="shared" si="8"/>
        <v>0</v>
      </c>
      <c r="J57" s="223" t="str">
        <f t="shared" si="9"/>
        <v/>
      </c>
      <c r="L57" s="131">
        <f t="shared" si="2"/>
        <v>0</v>
      </c>
      <c r="M57" s="131">
        <f t="shared" si="3"/>
        <v>0</v>
      </c>
      <c r="N57" s="75">
        <f t="shared" si="4"/>
        <v>45017</v>
      </c>
    </row>
    <row r="58" spans="1:14" x14ac:dyDescent="0.25">
      <c r="A58" s="133"/>
      <c r="B58" s="134"/>
      <c r="C58" s="135"/>
      <c r="D58" s="135"/>
      <c r="E58" s="136"/>
      <c r="F58" s="135"/>
      <c r="G58" s="135"/>
      <c r="H58" s="136"/>
      <c r="I58" s="222">
        <f t="shared" si="8"/>
        <v>0</v>
      </c>
      <c r="J58" s="223" t="str">
        <f t="shared" si="9"/>
        <v/>
      </c>
      <c r="L58" s="131">
        <f t="shared" si="2"/>
        <v>0</v>
      </c>
      <c r="M58" s="131">
        <f t="shared" si="3"/>
        <v>0</v>
      </c>
      <c r="N58" s="75">
        <f t="shared" si="4"/>
        <v>45017</v>
      </c>
    </row>
    <row r="59" spans="1:14" x14ac:dyDescent="0.25">
      <c r="A59" s="133"/>
      <c r="B59" s="134"/>
      <c r="C59" s="135"/>
      <c r="D59" s="135"/>
      <c r="E59" s="136"/>
      <c r="F59" s="135"/>
      <c r="G59" s="135"/>
      <c r="H59" s="136"/>
      <c r="I59" s="222">
        <f t="shared" si="8"/>
        <v>0</v>
      </c>
      <c r="J59" s="223" t="str">
        <f t="shared" si="9"/>
        <v/>
      </c>
      <c r="L59" s="131">
        <f t="shared" si="2"/>
        <v>0</v>
      </c>
      <c r="M59" s="131">
        <f t="shared" si="3"/>
        <v>0</v>
      </c>
      <c r="N59" s="75">
        <f t="shared" si="4"/>
        <v>45017</v>
      </c>
    </row>
    <row r="60" spans="1:14" x14ac:dyDescent="0.25">
      <c r="A60" s="133"/>
      <c r="B60" s="134"/>
      <c r="C60" s="135"/>
      <c r="D60" s="135"/>
      <c r="E60" s="136"/>
      <c r="F60" s="135"/>
      <c r="G60" s="135"/>
      <c r="H60" s="136"/>
      <c r="I60" s="222">
        <f t="shared" si="8"/>
        <v>0</v>
      </c>
      <c r="J60" s="223" t="str">
        <f t="shared" ref="J60:J65" si="10">IF(H60="","",IF(H60-E60&gt;365,"LT","ST"))</f>
        <v/>
      </c>
      <c r="L60" s="131">
        <f t="shared" si="2"/>
        <v>0</v>
      </c>
      <c r="M60" s="131">
        <f t="shared" si="3"/>
        <v>0</v>
      </c>
      <c r="N60" s="75">
        <f t="shared" si="4"/>
        <v>45017</v>
      </c>
    </row>
    <row r="61" spans="1:14" x14ac:dyDescent="0.25">
      <c r="A61" s="133"/>
      <c r="B61" s="134"/>
      <c r="C61" s="135"/>
      <c r="D61" s="135"/>
      <c r="E61" s="136"/>
      <c r="F61" s="135"/>
      <c r="G61" s="135"/>
      <c r="H61" s="136"/>
      <c r="I61" s="222">
        <f t="shared" si="8"/>
        <v>0</v>
      </c>
      <c r="J61" s="223" t="str">
        <f t="shared" si="10"/>
        <v/>
      </c>
      <c r="L61" s="131">
        <f t="shared" si="2"/>
        <v>0</v>
      </c>
      <c r="M61" s="131">
        <f t="shared" si="3"/>
        <v>0</v>
      </c>
      <c r="N61" s="75">
        <f t="shared" si="4"/>
        <v>45017</v>
      </c>
    </row>
    <row r="62" spans="1:14" x14ac:dyDescent="0.25">
      <c r="A62" s="133"/>
      <c r="B62" s="134"/>
      <c r="C62" s="135"/>
      <c r="D62" s="135"/>
      <c r="E62" s="136"/>
      <c r="F62" s="135"/>
      <c r="G62" s="135"/>
      <c r="H62" s="136"/>
      <c r="I62" s="222">
        <f t="shared" si="8"/>
        <v>0</v>
      </c>
      <c r="J62" s="223" t="str">
        <f t="shared" si="10"/>
        <v/>
      </c>
      <c r="L62" s="131">
        <f t="shared" si="2"/>
        <v>0</v>
      </c>
      <c r="M62" s="131">
        <f t="shared" si="3"/>
        <v>0</v>
      </c>
      <c r="N62" s="75">
        <f t="shared" si="4"/>
        <v>45017</v>
      </c>
    </row>
    <row r="63" spans="1:14" x14ac:dyDescent="0.25">
      <c r="A63" s="133"/>
      <c r="B63" s="134"/>
      <c r="C63" s="135"/>
      <c r="D63" s="135"/>
      <c r="E63" s="136"/>
      <c r="F63" s="135"/>
      <c r="G63" s="135"/>
      <c r="H63" s="136"/>
      <c r="I63" s="222">
        <f t="shared" si="8"/>
        <v>0</v>
      </c>
      <c r="J63" s="223" t="str">
        <f t="shared" si="10"/>
        <v/>
      </c>
      <c r="L63" s="131">
        <f t="shared" si="2"/>
        <v>0</v>
      </c>
      <c r="M63" s="131">
        <f t="shared" si="3"/>
        <v>0</v>
      </c>
      <c r="N63" s="75">
        <f t="shared" si="4"/>
        <v>45017</v>
      </c>
    </row>
    <row r="64" spans="1:14" x14ac:dyDescent="0.25">
      <c r="A64" s="133"/>
      <c r="B64" s="134"/>
      <c r="C64" s="135"/>
      <c r="D64" s="135"/>
      <c r="E64" s="136"/>
      <c r="F64" s="135"/>
      <c r="G64" s="135"/>
      <c r="H64" s="136"/>
      <c r="I64" s="222">
        <f t="shared" si="8"/>
        <v>0</v>
      </c>
      <c r="J64" s="223" t="str">
        <f t="shared" si="10"/>
        <v/>
      </c>
      <c r="L64" s="131">
        <f t="shared" si="2"/>
        <v>0</v>
      </c>
      <c r="M64" s="131">
        <f t="shared" si="3"/>
        <v>0</v>
      </c>
      <c r="N64" s="75">
        <f t="shared" si="4"/>
        <v>45017</v>
      </c>
    </row>
    <row r="65" spans="1:14" x14ac:dyDescent="0.25">
      <c r="A65" s="133"/>
      <c r="B65" s="134"/>
      <c r="C65" s="135"/>
      <c r="D65" s="135"/>
      <c r="E65" s="136"/>
      <c r="F65" s="135"/>
      <c r="G65" s="135"/>
      <c r="H65" s="136"/>
      <c r="I65" s="222">
        <f t="shared" si="8"/>
        <v>0</v>
      </c>
      <c r="J65" s="223" t="str">
        <f t="shared" si="10"/>
        <v/>
      </c>
      <c r="L65" s="131">
        <f t="shared" ref="L65:L92" si="11">IF(J65="LT",I65,0)</f>
        <v>0</v>
      </c>
      <c r="M65" s="131">
        <f t="shared" ref="M65:M92" si="12">IF(J65="ST",I65,0)</f>
        <v>0</v>
      </c>
      <c r="N65" s="75">
        <f t="shared" ref="N65:N92" si="13">MAX($Q$5,E65)</f>
        <v>45017</v>
      </c>
    </row>
    <row r="66" spans="1:14" x14ac:dyDescent="0.25">
      <c r="A66" s="133"/>
      <c r="B66" s="134"/>
      <c r="C66" s="135"/>
      <c r="D66" s="135"/>
      <c r="E66" s="136"/>
      <c r="F66" s="135"/>
      <c r="G66" s="135"/>
      <c r="H66" s="136"/>
      <c r="I66" s="222">
        <f t="shared" ref="I66:I93" si="14">B66*((F66-G66)-(C66+D66))</f>
        <v>0</v>
      </c>
      <c r="J66" s="223" t="str">
        <f t="shared" ref="J66:J93" si="15">IF(H66="","",IF(H66-E66&gt;365,"LT","ST"))</f>
        <v/>
      </c>
      <c r="L66" s="131">
        <f t="shared" si="11"/>
        <v>0</v>
      </c>
      <c r="M66" s="131">
        <f t="shared" si="12"/>
        <v>0</v>
      </c>
      <c r="N66" s="75">
        <f t="shared" si="13"/>
        <v>45017</v>
      </c>
    </row>
    <row r="67" spans="1:14" x14ac:dyDescent="0.25">
      <c r="A67" s="133"/>
      <c r="B67" s="134"/>
      <c r="C67" s="135"/>
      <c r="D67" s="135"/>
      <c r="E67" s="136"/>
      <c r="F67" s="135"/>
      <c r="G67" s="135"/>
      <c r="H67" s="136"/>
      <c r="I67" s="222">
        <f t="shared" si="14"/>
        <v>0</v>
      </c>
      <c r="J67" s="223" t="str">
        <f t="shared" si="15"/>
        <v/>
      </c>
      <c r="L67" s="131">
        <f t="shared" si="11"/>
        <v>0</v>
      </c>
      <c r="M67" s="131">
        <f t="shared" si="12"/>
        <v>0</v>
      </c>
      <c r="N67" s="75">
        <f t="shared" si="13"/>
        <v>45017</v>
      </c>
    </row>
    <row r="68" spans="1:14" x14ac:dyDescent="0.25">
      <c r="A68" s="133"/>
      <c r="B68" s="134"/>
      <c r="C68" s="135"/>
      <c r="D68" s="135"/>
      <c r="E68" s="136"/>
      <c r="F68" s="135"/>
      <c r="G68" s="135"/>
      <c r="H68" s="136"/>
      <c r="I68" s="222">
        <f t="shared" si="14"/>
        <v>0</v>
      </c>
      <c r="J68" s="223" t="str">
        <f t="shared" si="15"/>
        <v/>
      </c>
      <c r="L68" s="131">
        <f t="shared" si="11"/>
        <v>0</v>
      </c>
      <c r="M68" s="131">
        <f t="shared" si="12"/>
        <v>0</v>
      </c>
      <c r="N68" s="75">
        <f t="shared" si="13"/>
        <v>45017</v>
      </c>
    </row>
    <row r="69" spans="1:14" x14ac:dyDescent="0.25">
      <c r="A69" s="133"/>
      <c r="B69" s="134"/>
      <c r="C69" s="135"/>
      <c r="D69" s="135"/>
      <c r="E69" s="136"/>
      <c r="F69" s="135"/>
      <c r="G69" s="135"/>
      <c r="H69" s="136"/>
      <c r="I69" s="222">
        <f t="shared" si="14"/>
        <v>0</v>
      </c>
      <c r="J69" s="223" t="str">
        <f t="shared" si="15"/>
        <v/>
      </c>
      <c r="L69" s="131">
        <f t="shared" si="11"/>
        <v>0</v>
      </c>
      <c r="M69" s="131">
        <f t="shared" si="12"/>
        <v>0</v>
      </c>
      <c r="N69" s="75">
        <f t="shared" si="13"/>
        <v>45017</v>
      </c>
    </row>
    <row r="70" spans="1:14" x14ac:dyDescent="0.25">
      <c r="A70" s="133"/>
      <c r="B70" s="134"/>
      <c r="C70" s="135"/>
      <c r="D70" s="135"/>
      <c r="E70" s="136"/>
      <c r="F70" s="135"/>
      <c r="G70" s="135"/>
      <c r="H70" s="136"/>
      <c r="I70" s="222">
        <f t="shared" si="14"/>
        <v>0</v>
      </c>
      <c r="J70" s="223" t="str">
        <f t="shared" si="15"/>
        <v/>
      </c>
      <c r="L70" s="131">
        <f t="shared" si="11"/>
        <v>0</v>
      </c>
      <c r="M70" s="131">
        <f t="shared" si="12"/>
        <v>0</v>
      </c>
      <c r="N70" s="75">
        <f t="shared" si="13"/>
        <v>45017</v>
      </c>
    </row>
    <row r="71" spans="1:14" x14ac:dyDescent="0.25">
      <c r="A71" s="133"/>
      <c r="B71" s="134"/>
      <c r="C71" s="135"/>
      <c r="D71" s="135"/>
      <c r="E71" s="136"/>
      <c r="F71" s="135"/>
      <c r="G71" s="135"/>
      <c r="H71" s="136"/>
      <c r="I71" s="222">
        <f t="shared" si="14"/>
        <v>0</v>
      </c>
      <c r="J71" s="223" t="str">
        <f t="shared" si="15"/>
        <v/>
      </c>
      <c r="L71" s="131">
        <f t="shared" si="11"/>
        <v>0</v>
      </c>
      <c r="M71" s="131">
        <f t="shared" si="12"/>
        <v>0</v>
      </c>
      <c r="N71" s="75">
        <f t="shared" si="13"/>
        <v>45017</v>
      </c>
    </row>
    <row r="72" spans="1:14" x14ac:dyDescent="0.25">
      <c r="A72" s="133"/>
      <c r="B72" s="134"/>
      <c r="C72" s="135"/>
      <c r="D72" s="135"/>
      <c r="E72" s="136"/>
      <c r="F72" s="135"/>
      <c r="G72" s="135"/>
      <c r="H72" s="136"/>
      <c r="I72" s="222">
        <f t="shared" si="14"/>
        <v>0</v>
      </c>
      <c r="J72" s="223" t="str">
        <f t="shared" si="15"/>
        <v/>
      </c>
      <c r="L72" s="131">
        <f t="shared" si="11"/>
        <v>0</v>
      </c>
      <c r="M72" s="131">
        <f t="shared" si="12"/>
        <v>0</v>
      </c>
      <c r="N72" s="75">
        <f t="shared" si="13"/>
        <v>45017</v>
      </c>
    </row>
    <row r="73" spans="1:14" x14ac:dyDescent="0.25">
      <c r="A73" s="133"/>
      <c r="B73" s="134"/>
      <c r="C73" s="135"/>
      <c r="D73" s="135"/>
      <c r="E73" s="136"/>
      <c r="F73" s="135"/>
      <c r="G73" s="135"/>
      <c r="H73" s="136"/>
      <c r="I73" s="222">
        <f t="shared" si="14"/>
        <v>0</v>
      </c>
      <c r="J73" s="223" t="str">
        <f t="shared" si="15"/>
        <v/>
      </c>
      <c r="L73" s="131">
        <f t="shared" si="11"/>
        <v>0</v>
      </c>
      <c r="M73" s="131">
        <f t="shared" si="12"/>
        <v>0</v>
      </c>
      <c r="N73" s="75">
        <f t="shared" si="13"/>
        <v>45017</v>
      </c>
    </row>
    <row r="74" spans="1:14" x14ac:dyDescent="0.25">
      <c r="A74" s="133"/>
      <c r="B74" s="134"/>
      <c r="C74" s="135"/>
      <c r="D74" s="135"/>
      <c r="E74" s="136"/>
      <c r="F74" s="135"/>
      <c r="G74" s="135"/>
      <c r="H74" s="136"/>
      <c r="I74" s="222">
        <f t="shared" si="14"/>
        <v>0</v>
      </c>
      <c r="J74" s="223" t="str">
        <f t="shared" si="15"/>
        <v/>
      </c>
      <c r="L74" s="131">
        <f t="shared" si="11"/>
        <v>0</v>
      </c>
      <c r="M74" s="131">
        <f t="shared" si="12"/>
        <v>0</v>
      </c>
      <c r="N74" s="75">
        <f t="shared" si="13"/>
        <v>45017</v>
      </c>
    </row>
    <row r="75" spans="1:14" x14ac:dyDescent="0.25">
      <c r="A75" s="133"/>
      <c r="B75" s="134"/>
      <c r="C75" s="135"/>
      <c r="D75" s="135"/>
      <c r="E75" s="136"/>
      <c r="F75" s="135"/>
      <c r="G75" s="135"/>
      <c r="H75" s="136"/>
      <c r="I75" s="222">
        <f t="shared" si="14"/>
        <v>0</v>
      </c>
      <c r="J75" s="223" t="str">
        <f t="shared" si="15"/>
        <v/>
      </c>
      <c r="L75" s="131">
        <f t="shared" si="11"/>
        <v>0</v>
      </c>
      <c r="M75" s="131">
        <f t="shared" si="12"/>
        <v>0</v>
      </c>
      <c r="N75" s="75">
        <f t="shared" si="13"/>
        <v>45017</v>
      </c>
    </row>
    <row r="76" spans="1:14" x14ac:dyDescent="0.25">
      <c r="A76" s="133"/>
      <c r="B76" s="134"/>
      <c r="C76" s="135"/>
      <c r="D76" s="135"/>
      <c r="E76" s="136"/>
      <c r="F76" s="135"/>
      <c r="G76" s="135"/>
      <c r="H76" s="136"/>
      <c r="I76" s="222">
        <f t="shared" si="14"/>
        <v>0</v>
      </c>
      <c r="J76" s="223" t="str">
        <f t="shared" si="15"/>
        <v/>
      </c>
      <c r="L76" s="131">
        <f t="shared" si="11"/>
        <v>0</v>
      </c>
      <c r="M76" s="131">
        <f t="shared" si="12"/>
        <v>0</v>
      </c>
      <c r="N76" s="75">
        <f t="shared" si="13"/>
        <v>45017</v>
      </c>
    </row>
    <row r="77" spans="1:14" x14ac:dyDescent="0.25">
      <c r="A77" s="133"/>
      <c r="B77" s="134"/>
      <c r="C77" s="135"/>
      <c r="D77" s="135"/>
      <c r="E77" s="136"/>
      <c r="F77" s="135"/>
      <c r="G77" s="135"/>
      <c r="H77" s="136"/>
      <c r="I77" s="222">
        <f t="shared" si="14"/>
        <v>0</v>
      </c>
      <c r="J77" s="223" t="str">
        <f t="shared" si="15"/>
        <v/>
      </c>
      <c r="L77" s="131">
        <f t="shared" si="11"/>
        <v>0</v>
      </c>
      <c r="M77" s="131">
        <f t="shared" si="12"/>
        <v>0</v>
      </c>
      <c r="N77" s="75">
        <f t="shared" si="13"/>
        <v>45017</v>
      </c>
    </row>
    <row r="78" spans="1:14" x14ac:dyDescent="0.25">
      <c r="A78" s="133"/>
      <c r="B78" s="134"/>
      <c r="C78" s="135"/>
      <c r="D78" s="135"/>
      <c r="E78" s="136"/>
      <c r="F78" s="135"/>
      <c r="G78" s="135"/>
      <c r="H78" s="136"/>
      <c r="I78" s="222">
        <f t="shared" si="14"/>
        <v>0</v>
      </c>
      <c r="J78" s="223" t="str">
        <f t="shared" si="15"/>
        <v/>
      </c>
      <c r="L78" s="131">
        <f t="shared" si="11"/>
        <v>0</v>
      </c>
      <c r="M78" s="131">
        <f t="shared" si="12"/>
        <v>0</v>
      </c>
      <c r="N78" s="75">
        <f t="shared" si="13"/>
        <v>45017</v>
      </c>
    </row>
    <row r="79" spans="1:14" x14ac:dyDescent="0.25">
      <c r="A79" s="133"/>
      <c r="B79" s="134"/>
      <c r="C79" s="135"/>
      <c r="D79" s="135"/>
      <c r="E79" s="136"/>
      <c r="F79" s="135"/>
      <c r="G79" s="135"/>
      <c r="H79" s="136"/>
      <c r="I79" s="222">
        <f t="shared" si="14"/>
        <v>0</v>
      </c>
      <c r="J79" s="223" t="str">
        <f t="shared" si="15"/>
        <v/>
      </c>
      <c r="L79" s="131">
        <f t="shared" si="11"/>
        <v>0</v>
      </c>
      <c r="M79" s="131">
        <f t="shared" si="12"/>
        <v>0</v>
      </c>
      <c r="N79" s="75">
        <f t="shared" si="13"/>
        <v>45017</v>
      </c>
    </row>
    <row r="80" spans="1:14" x14ac:dyDescent="0.25">
      <c r="A80" s="133"/>
      <c r="B80" s="134"/>
      <c r="C80" s="135"/>
      <c r="D80" s="135"/>
      <c r="E80" s="136"/>
      <c r="F80" s="135"/>
      <c r="G80" s="135"/>
      <c r="H80" s="136"/>
      <c r="I80" s="222">
        <f t="shared" si="14"/>
        <v>0</v>
      </c>
      <c r="J80" s="223" t="str">
        <f t="shared" si="15"/>
        <v/>
      </c>
      <c r="L80" s="131">
        <f t="shared" si="11"/>
        <v>0</v>
      </c>
      <c r="M80" s="131">
        <f t="shared" si="12"/>
        <v>0</v>
      </c>
      <c r="N80" s="75">
        <f t="shared" si="13"/>
        <v>45017</v>
      </c>
    </row>
    <row r="81" spans="1:14" x14ac:dyDescent="0.25">
      <c r="A81" s="133"/>
      <c r="B81" s="134"/>
      <c r="C81" s="135"/>
      <c r="D81" s="135"/>
      <c r="E81" s="136"/>
      <c r="F81" s="135"/>
      <c r="G81" s="135"/>
      <c r="H81" s="136"/>
      <c r="I81" s="222">
        <f t="shared" si="14"/>
        <v>0</v>
      </c>
      <c r="J81" s="223" t="str">
        <f t="shared" si="15"/>
        <v/>
      </c>
      <c r="L81" s="131">
        <f t="shared" si="11"/>
        <v>0</v>
      </c>
      <c r="M81" s="131">
        <f t="shared" si="12"/>
        <v>0</v>
      </c>
      <c r="N81" s="75">
        <f t="shared" si="13"/>
        <v>45017</v>
      </c>
    </row>
    <row r="82" spans="1:14" x14ac:dyDescent="0.25">
      <c r="A82" s="133"/>
      <c r="B82" s="134"/>
      <c r="C82" s="135"/>
      <c r="D82" s="135"/>
      <c r="E82" s="136"/>
      <c r="F82" s="135"/>
      <c r="G82" s="135"/>
      <c r="H82" s="136"/>
      <c r="I82" s="222">
        <f t="shared" si="14"/>
        <v>0</v>
      </c>
      <c r="J82" s="223" t="str">
        <f t="shared" si="15"/>
        <v/>
      </c>
      <c r="L82" s="131">
        <f t="shared" si="11"/>
        <v>0</v>
      </c>
      <c r="M82" s="131">
        <f t="shared" si="12"/>
        <v>0</v>
      </c>
      <c r="N82" s="75">
        <f t="shared" si="13"/>
        <v>45017</v>
      </c>
    </row>
    <row r="83" spans="1:14" x14ac:dyDescent="0.25">
      <c r="A83" s="133"/>
      <c r="B83" s="134"/>
      <c r="C83" s="135"/>
      <c r="D83" s="135"/>
      <c r="E83" s="136"/>
      <c r="F83" s="135"/>
      <c r="G83" s="135"/>
      <c r="H83" s="136"/>
      <c r="I83" s="222">
        <f t="shared" si="14"/>
        <v>0</v>
      </c>
      <c r="J83" s="223" t="str">
        <f t="shared" si="15"/>
        <v/>
      </c>
      <c r="L83" s="131">
        <f t="shared" si="11"/>
        <v>0</v>
      </c>
      <c r="M83" s="131">
        <f t="shared" si="12"/>
        <v>0</v>
      </c>
      <c r="N83" s="75">
        <f t="shared" si="13"/>
        <v>45017</v>
      </c>
    </row>
    <row r="84" spans="1:14" x14ac:dyDescent="0.25">
      <c r="A84" s="133"/>
      <c r="B84" s="134"/>
      <c r="C84" s="135"/>
      <c r="D84" s="135"/>
      <c r="E84" s="136"/>
      <c r="F84" s="135"/>
      <c r="G84" s="135"/>
      <c r="H84" s="136"/>
      <c r="I84" s="222">
        <f t="shared" si="14"/>
        <v>0</v>
      </c>
      <c r="J84" s="223" t="str">
        <f t="shared" si="15"/>
        <v/>
      </c>
      <c r="L84" s="131">
        <f t="shared" si="11"/>
        <v>0</v>
      </c>
      <c r="M84" s="131">
        <f t="shared" si="12"/>
        <v>0</v>
      </c>
      <c r="N84" s="75">
        <f t="shared" si="13"/>
        <v>45017</v>
      </c>
    </row>
    <row r="85" spans="1:14" x14ac:dyDescent="0.25">
      <c r="A85" s="133"/>
      <c r="B85" s="134"/>
      <c r="C85" s="135"/>
      <c r="D85" s="135"/>
      <c r="E85" s="136"/>
      <c r="F85" s="135"/>
      <c r="G85" s="135"/>
      <c r="H85" s="136"/>
      <c r="I85" s="222">
        <f t="shared" si="14"/>
        <v>0</v>
      </c>
      <c r="J85" s="223" t="str">
        <f t="shared" si="15"/>
        <v/>
      </c>
      <c r="L85" s="131">
        <f t="shared" si="11"/>
        <v>0</v>
      </c>
      <c r="M85" s="131">
        <f t="shared" si="12"/>
        <v>0</v>
      </c>
      <c r="N85" s="75">
        <f t="shared" si="13"/>
        <v>45017</v>
      </c>
    </row>
    <row r="86" spans="1:14" x14ac:dyDescent="0.25">
      <c r="A86" s="133"/>
      <c r="B86" s="134"/>
      <c r="C86" s="135"/>
      <c r="D86" s="135"/>
      <c r="E86" s="136"/>
      <c r="F86" s="135"/>
      <c r="G86" s="135"/>
      <c r="H86" s="136"/>
      <c r="I86" s="222">
        <f t="shared" si="14"/>
        <v>0</v>
      </c>
      <c r="J86" s="223" t="str">
        <f t="shared" si="15"/>
        <v/>
      </c>
      <c r="L86" s="131">
        <f t="shared" si="11"/>
        <v>0</v>
      </c>
      <c r="M86" s="131">
        <f t="shared" si="12"/>
        <v>0</v>
      </c>
      <c r="N86" s="75">
        <f t="shared" si="13"/>
        <v>45017</v>
      </c>
    </row>
    <row r="87" spans="1:14" x14ac:dyDescent="0.25">
      <c r="A87" s="133"/>
      <c r="B87" s="134"/>
      <c r="C87" s="135"/>
      <c r="D87" s="135"/>
      <c r="E87" s="136"/>
      <c r="F87" s="135"/>
      <c r="G87" s="135"/>
      <c r="H87" s="136"/>
      <c r="I87" s="222">
        <f t="shared" si="14"/>
        <v>0</v>
      </c>
      <c r="J87" s="223" t="str">
        <f t="shared" si="15"/>
        <v/>
      </c>
      <c r="L87" s="131">
        <f t="shared" si="11"/>
        <v>0</v>
      </c>
      <c r="M87" s="131">
        <f t="shared" si="12"/>
        <v>0</v>
      </c>
      <c r="N87" s="75">
        <f t="shared" si="13"/>
        <v>45017</v>
      </c>
    </row>
    <row r="88" spans="1:14" x14ac:dyDescent="0.25">
      <c r="A88" s="133"/>
      <c r="B88" s="134"/>
      <c r="C88" s="135"/>
      <c r="D88" s="135"/>
      <c r="E88" s="136"/>
      <c r="F88" s="135"/>
      <c r="G88" s="135"/>
      <c r="H88" s="136"/>
      <c r="I88" s="222">
        <f t="shared" si="14"/>
        <v>0</v>
      </c>
      <c r="J88" s="223" t="str">
        <f t="shared" si="15"/>
        <v/>
      </c>
      <c r="L88" s="131">
        <f t="shared" si="11"/>
        <v>0</v>
      </c>
      <c r="M88" s="131">
        <f t="shared" si="12"/>
        <v>0</v>
      </c>
      <c r="N88" s="75">
        <f t="shared" si="13"/>
        <v>45017</v>
      </c>
    </row>
    <row r="89" spans="1:14" x14ac:dyDescent="0.25">
      <c r="A89" s="133"/>
      <c r="B89" s="134"/>
      <c r="C89" s="135"/>
      <c r="D89" s="135"/>
      <c r="E89" s="136"/>
      <c r="F89" s="135"/>
      <c r="G89" s="135"/>
      <c r="H89" s="136"/>
      <c r="I89" s="222">
        <f t="shared" si="14"/>
        <v>0</v>
      </c>
      <c r="J89" s="223" t="str">
        <f t="shared" si="15"/>
        <v/>
      </c>
      <c r="L89" s="131">
        <f t="shared" si="11"/>
        <v>0</v>
      </c>
      <c r="M89" s="131">
        <f t="shared" si="12"/>
        <v>0</v>
      </c>
      <c r="N89" s="75">
        <f t="shared" si="13"/>
        <v>45017</v>
      </c>
    </row>
    <row r="90" spans="1:14" x14ac:dyDescent="0.25">
      <c r="A90" s="133"/>
      <c r="B90" s="134"/>
      <c r="C90" s="135"/>
      <c r="D90" s="135"/>
      <c r="E90" s="136"/>
      <c r="F90" s="135"/>
      <c r="G90" s="135"/>
      <c r="H90" s="136"/>
      <c r="I90" s="222">
        <f t="shared" si="14"/>
        <v>0</v>
      </c>
      <c r="J90" s="223" t="str">
        <f t="shared" si="15"/>
        <v/>
      </c>
      <c r="L90" s="131">
        <f t="shared" si="11"/>
        <v>0</v>
      </c>
      <c r="M90" s="131">
        <f t="shared" si="12"/>
        <v>0</v>
      </c>
      <c r="N90" s="75">
        <f t="shared" si="13"/>
        <v>45017</v>
      </c>
    </row>
    <row r="91" spans="1:14" x14ac:dyDescent="0.25">
      <c r="A91" s="133"/>
      <c r="B91" s="134"/>
      <c r="C91" s="135"/>
      <c r="D91" s="135"/>
      <c r="E91" s="136"/>
      <c r="F91" s="135"/>
      <c r="G91" s="135"/>
      <c r="H91" s="136"/>
      <c r="I91" s="222">
        <f t="shared" si="14"/>
        <v>0</v>
      </c>
      <c r="J91" s="223" t="str">
        <f t="shared" si="15"/>
        <v/>
      </c>
      <c r="L91" s="131">
        <f t="shared" si="11"/>
        <v>0</v>
      </c>
      <c r="M91" s="131">
        <f t="shared" si="12"/>
        <v>0</v>
      </c>
      <c r="N91" s="75">
        <f t="shared" si="13"/>
        <v>45017</v>
      </c>
    </row>
    <row r="92" spans="1:14" x14ac:dyDescent="0.25">
      <c r="A92" s="133"/>
      <c r="B92" s="134"/>
      <c r="C92" s="135"/>
      <c r="D92" s="135"/>
      <c r="E92" s="136"/>
      <c r="F92" s="135"/>
      <c r="G92" s="135"/>
      <c r="H92" s="136"/>
      <c r="I92" s="222">
        <f t="shared" si="14"/>
        <v>0</v>
      </c>
      <c r="J92" s="223" t="str">
        <f t="shared" si="15"/>
        <v/>
      </c>
      <c r="L92" s="131">
        <f t="shared" si="11"/>
        <v>0</v>
      </c>
      <c r="M92" s="131">
        <f t="shared" si="12"/>
        <v>0</v>
      </c>
      <c r="N92" s="75">
        <f t="shared" si="13"/>
        <v>45017</v>
      </c>
    </row>
    <row r="93" spans="1:14" x14ac:dyDescent="0.25">
      <c r="A93" s="133"/>
      <c r="B93" s="134"/>
      <c r="C93" s="135"/>
      <c r="D93" s="135"/>
      <c r="E93" s="136"/>
      <c r="F93" s="135"/>
      <c r="G93" s="135"/>
      <c r="H93" s="136"/>
      <c r="I93" s="222">
        <f t="shared" si="14"/>
        <v>0</v>
      </c>
      <c r="J93" s="223" t="str">
        <f t="shared" si="15"/>
        <v/>
      </c>
      <c r="L93" s="131">
        <f t="shared" si="2"/>
        <v>0</v>
      </c>
      <c r="M93" s="131">
        <f t="shared" si="3"/>
        <v>0</v>
      </c>
      <c r="N93" s="75">
        <f t="shared" si="4"/>
        <v>45017</v>
      </c>
    </row>
    <row r="94" spans="1:14" x14ac:dyDescent="0.25">
      <c r="A94" s="133"/>
      <c r="B94" s="134"/>
      <c r="C94" s="135"/>
      <c r="D94" s="135"/>
      <c r="E94" s="136"/>
      <c r="F94" s="135"/>
      <c r="G94" s="135"/>
      <c r="H94" s="136"/>
      <c r="I94" s="222">
        <f t="shared" si="8"/>
        <v>0</v>
      </c>
      <c r="J94" s="223" t="str">
        <f t="shared" ref="J94:J111" si="16">IF(H94="","",IF(H94-E94&gt;365,"LT","ST"))</f>
        <v/>
      </c>
      <c r="L94" s="131">
        <f t="shared" si="2"/>
        <v>0</v>
      </c>
      <c r="M94" s="131">
        <f t="shared" si="3"/>
        <v>0</v>
      </c>
      <c r="N94" s="75">
        <f t="shared" si="4"/>
        <v>45017</v>
      </c>
    </row>
    <row r="95" spans="1:14" x14ac:dyDescent="0.25">
      <c r="A95" s="133"/>
      <c r="B95" s="134"/>
      <c r="C95" s="135"/>
      <c r="D95" s="135"/>
      <c r="E95" s="136"/>
      <c r="F95" s="135"/>
      <c r="G95" s="135"/>
      <c r="H95" s="136"/>
      <c r="I95" s="222">
        <f t="shared" si="8"/>
        <v>0</v>
      </c>
      <c r="J95" s="223" t="str">
        <f t="shared" si="16"/>
        <v/>
      </c>
      <c r="L95" s="131">
        <f t="shared" si="2"/>
        <v>0</v>
      </c>
      <c r="M95" s="131">
        <f t="shared" si="3"/>
        <v>0</v>
      </c>
      <c r="N95" s="75">
        <f t="shared" si="4"/>
        <v>45017</v>
      </c>
    </row>
    <row r="96" spans="1:14" x14ac:dyDescent="0.25">
      <c r="A96" s="133"/>
      <c r="B96" s="134"/>
      <c r="C96" s="135"/>
      <c r="D96" s="135"/>
      <c r="E96" s="136"/>
      <c r="F96" s="135"/>
      <c r="G96" s="135"/>
      <c r="H96" s="136"/>
      <c r="I96" s="222">
        <f t="shared" si="8"/>
        <v>0</v>
      </c>
      <c r="J96" s="223" t="str">
        <f t="shared" si="16"/>
        <v/>
      </c>
      <c r="L96" s="131">
        <f t="shared" si="2"/>
        <v>0</v>
      </c>
      <c r="M96" s="131">
        <f t="shared" si="3"/>
        <v>0</v>
      </c>
      <c r="N96" s="75">
        <f t="shared" si="4"/>
        <v>45017</v>
      </c>
    </row>
    <row r="97" spans="1:14" x14ac:dyDescent="0.25">
      <c r="A97" s="133"/>
      <c r="B97" s="134"/>
      <c r="C97" s="135"/>
      <c r="D97" s="135"/>
      <c r="E97" s="136"/>
      <c r="F97" s="135"/>
      <c r="G97" s="135"/>
      <c r="H97" s="136"/>
      <c r="I97" s="222">
        <f t="shared" si="8"/>
        <v>0</v>
      </c>
      <c r="J97" s="223" t="str">
        <f t="shared" si="16"/>
        <v/>
      </c>
      <c r="L97" s="131">
        <f t="shared" si="2"/>
        <v>0</v>
      </c>
      <c r="M97" s="131">
        <f t="shared" si="3"/>
        <v>0</v>
      </c>
      <c r="N97" s="75">
        <f t="shared" si="4"/>
        <v>45017</v>
      </c>
    </row>
    <row r="98" spans="1:14" x14ac:dyDescent="0.25">
      <c r="A98" s="133"/>
      <c r="B98" s="134"/>
      <c r="C98" s="135"/>
      <c r="D98" s="135"/>
      <c r="E98" s="136"/>
      <c r="F98" s="135"/>
      <c r="G98" s="135"/>
      <c r="H98" s="136"/>
      <c r="I98" s="222">
        <f t="shared" si="8"/>
        <v>0</v>
      </c>
      <c r="J98" s="223" t="str">
        <f t="shared" si="16"/>
        <v/>
      </c>
      <c r="L98" s="131">
        <f t="shared" si="2"/>
        <v>0</v>
      </c>
      <c r="M98" s="131">
        <f t="shared" si="3"/>
        <v>0</v>
      </c>
      <c r="N98" s="75">
        <f t="shared" si="4"/>
        <v>45017</v>
      </c>
    </row>
    <row r="99" spans="1:14" x14ac:dyDescent="0.25">
      <c r="A99" s="133"/>
      <c r="B99" s="134"/>
      <c r="C99" s="135"/>
      <c r="D99" s="135"/>
      <c r="E99" s="136"/>
      <c r="F99" s="135"/>
      <c r="G99" s="135"/>
      <c r="H99" s="136"/>
      <c r="I99" s="222">
        <f t="shared" si="8"/>
        <v>0</v>
      </c>
      <c r="J99" s="223" t="str">
        <f t="shared" si="16"/>
        <v/>
      </c>
      <c r="L99" s="131">
        <f t="shared" si="2"/>
        <v>0</v>
      </c>
      <c r="M99" s="131">
        <f t="shared" si="3"/>
        <v>0</v>
      </c>
      <c r="N99" s="75">
        <f t="shared" si="4"/>
        <v>45017</v>
      </c>
    </row>
    <row r="100" spans="1:14" x14ac:dyDescent="0.25">
      <c r="A100" s="133"/>
      <c r="B100" s="134"/>
      <c r="C100" s="135"/>
      <c r="D100" s="135"/>
      <c r="E100" s="136"/>
      <c r="F100" s="135"/>
      <c r="G100" s="135"/>
      <c r="H100" s="136"/>
      <c r="I100" s="222">
        <f t="shared" si="8"/>
        <v>0</v>
      </c>
      <c r="J100" s="223" t="str">
        <f t="shared" si="16"/>
        <v/>
      </c>
      <c r="L100" s="131">
        <f t="shared" si="2"/>
        <v>0</v>
      </c>
      <c r="M100" s="131">
        <f t="shared" si="3"/>
        <v>0</v>
      </c>
      <c r="N100" s="75">
        <f t="shared" si="4"/>
        <v>45017</v>
      </c>
    </row>
    <row r="101" spans="1:14" x14ac:dyDescent="0.25">
      <c r="A101" s="133"/>
      <c r="B101" s="134"/>
      <c r="C101" s="135"/>
      <c r="D101" s="135"/>
      <c r="E101" s="136"/>
      <c r="F101" s="135"/>
      <c r="G101" s="135"/>
      <c r="H101" s="136"/>
      <c r="I101" s="222">
        <f t="shared" si="8"/>
        <v>0</v>
      </c>
      <c r="J101" s="223" t="str">
        <f t="shared" si="16"/>
        <v/>
      </c>
      <c r="L101" s="131">
        <f t="shared" si="2"/>
        <v>0</v>
      </c>
      <c r="M101" s="131">
        <f t="shared" si="3"/>
        <v>0</v>
      </c>
      <c r="N101" s="75">
        <f t="shared" si="4"/>
        <v>45017</v>
      </c>
    </row>
    <row r="102" spans="1:14" x14ac:dyDescent="0.25">
      <c r="A102" s="133"/>
      <c r="B102" s="134"/>
      <c r="C102" s="135"/>
      <c r="D102" s="135"/>
      <c r="E102" s="136"/>
      <c r="F102" s="135"/>
      <c r="G102" s="135"/>
      <c r="H102" s="136"/>
      <c r="I102" s="222">
        <f t="shared" si="8"/>
        <v>0</v>
      </c>
      <c r="J102" s="223" t="str">
        <f t="shared" si="16"/>
        <v/>
      </c>
      <c r="L102" s="131">
        <f t="shared" si="2"/>
        <v>0</v>
      </c>
      <c r="M102" s="131">
        <f t="shared" si="3"/>
        <v>0</v>
      </c>
      <c r="N102" s="75">
        <f t="shared" si="4"/>
        <v>45017</v>
      </c>
    </row>
    <row r="103" spans="1:14" x14ac:dyDescent="0.25">
      <c r="A103" s="133"/>
      <c r="B103" s="134"/>
      <c r="C103" s="135"/>
      <c r="D103" s="135"/>
      <c r="E103" s="136"/>
      <c r="F103" s="135"/>
      <c r="G103" s="135"/>
      <c r="H103" s="136"/>
      <c r="I103" s="222">
        <f t="shared" si="8"/>
        <v>0</v>
      </c>
      <c r="J103" s="223" t="str">
        <f t="shared" si="16"/>
        <v/>
      </c>
      <c r="L103" s="131">
        <f t="shared" si="2"/>
        <v>0</v>
      </c>
      <c r="M103" s="131">
        <f t="shared" si="3"/>
        <v>0</v>
      </c>
      <c r="N103" s="75">
        <f t="shared" si="4"/>
        <v>45017</v>
      </c>
    </row>
    <row r="104" spans="1:14" x14ac:dyDescent="0.25">
      <c r="A104" s="133"/>
      <c r="B104" s="134"/>
      <c r="C104" s="135"/>
      <c r="D104" s="135"/>
      <c r="E104" s="136"/>
      <c r="F104" s="135"/>
      <c r="G104" s="135"/>
      <c r="H104" s="136"/>
      <c r="I104" s="222">
        <f t="shared" si="8"/>
        <v>0</v>
      </c>
      <c r="J104" s="223" t="str">
        <f t="shared" si="16"/>
        <v/>
      </c>
      <c r="L104" s="131">
        <f t="shared" si="2"/>
        <v>0</v>
      </c>
      <c r="M104" s="131">
        <f t="shared" si="3"/>
        <v>0</v>
      </c>
      <c r="N104" s="75">
        <f t="shared" si="4"/>
        <v>45017</v>
      </c>
    </row>
    <row r="105" spans="1:14" x14ac:dyDescent="0.25">
      <c r="A105" s="133"/>
      <c r="B105" s="134"/>
      <c r="C105" s="135"/>
      <c r="D105" s="135"/>
      <c r="E105" s="136"/>
      <c r="F105" s="135"/>
      <c r="G105" s="135"/>
      <c r="H105" s="136"/>
      <c r="I105" s="222">
        <f t="shared" si="8"/>
        <v>0</v>
      </c>
      <c r="J105" s="223" t="str">
        <f t="shared" si="16"/>
        <v/>
      </c>
      <c r="L105" s="131">
        <f t="shared" si="2"/>
        <v>0</v>
      </c>
      <c r="M105" s="131">
        <f t="shared" si="3"/>
        <v>0</v>
      </c>
      <c r="N105" s="75">
        <f t="shared" si="4"/>
        <v>45017</v>
      </c>
    </row>
    <row r="106" spans="1:14" x14ac:dyDescent="0.25">
      <c r="A106" s="133"/>
      <c r="B106" s="134"/>
      <c r="C106" s="135"/>
      <c r="D106" s="135"/>
      <c r="E106" s="136"/>
      <c r="F106" s="135"/>
      <c r="G106" s="135"/>
      <c r="H106" s="136"/>
      <c r="I106" s="222">
        <f t="shared" si="8"/>
        <v>0</v>
      </c>
      <c r="J106" s="223" t="str">
        <f t="shared" si="16"/>
        <v/>
      </c>
      <c r="L106" s="131">
        <f t="shared" si="2"/>
        <v>0</v>
      </c>
      <c r="M106" s="131">
        <f t="shared" si="3"/>
        <v>0</v>
      </c>
      <c r="N106" s="75">
        <f t="shared" si="4"/>
        <v>45017</v>
      </c>
    </row>
    <row r="107" spans="1:14" x14ac:dyDescent="0.25">
      <c r="A107" s="133"/>
      <c r="B107" s="134"/>
      <c r="C107" s="135"/>
      <c r="D107" s="135"/>
      <c r="E107" s="136"/>
      <c r="F107" s="135"/>
      <c r="G107" s="135"/>
      <c r="H107" s="136"/>
      <c r="I107" s="222">
        <f t="shared" si="8"/>
        <v>0</v>
      </c>
      <c r="J107" s="223" t="str">
        <f t="shared" si="16"/>
        <v/>
      </c>
      <c r="L107" s="131">
        <f t="shared" si="2"/>
        <v>0</v>
      </c>
      <c r="M107" s="131">
        <f t="shared" si="3"/>
        <v>0</v>
      </c>
      <c r="N107" s="75">
        <f t="shared" si="4"/>
        <v>45017</v>
      </c>
    </row>
    <row r="108" spans="1:14" x14ac:dyDescent="0.25">
      <c r="A108" s="133"/>
      <c r="B108" s="134"/>
      <c r="C108" s="135"/>
      <c r="D108" s="135"/>
      <c r="E108" s="136"/>
      <c r="F108" s="135"/>
      <c r="G108" s="135"/>
      <c r="H108" s="136"/>
      <c r="I108" s="222">
        <f t="shared" si="8"/>
        <v>0</v>
      </c>
      <c r="J108" s="223" t="str">
        <f t="shared" si="16"/>
        <v/>
      </c>
      <c r="L108" s="131">
        <f t="shared" si="2"/>
        <v>0</v>
      </c>
      <c r="M108" s="131">
        <f t="shared" si="3"/>
        <v>0</v>
      </c>
      <c r="N108" s="75">
        <f t="shared" si="4"/>
        <v>45017</v>
      </c>
    </row>
    <row r="109" spans="1:14" x14ac:dyDescent="0.25">
      <c r="A109" s="133"/>
      <c r="B109" s="134"/>
      <c r="C109" s="135"/>
      <c r="D109" s="135"/>
      <c r="E109" s="136"/>
      <c r="F109" s="135"/>
      <c r="G109" s="135"/>
      <c r="H109" s="136"/>
      <c r="I109" s="222">
        <f t="shared" si="8"/>
        <v>0</v>
      </c>
      <c r="J109" s="223" t="str">
        <f t="shared" si="16"/>
        <v/>
      </c>
      <c r="L109" s="131">
        <f t="shared" si="2"/>
        <v>0</v>
      </c>
      <c r="M109" s="131">
        <f t="shared" si="3"/>
        <v>0</v>
      </c>
      <c r="N109" s="75">
        <f t="shared" si="4"/>
        <v>45017</v>
      </c>
    </row>
    <row r="110" spans="1:14" x14ac:dyDescent="0.25">
      <c r="A110" s="133"/>
      <c r="B110" s="134"/>
      <c r="C110" s="135"/>
      <c r="D110" s="135"/>
      <c r="E110" s="136"/>
      <c r="F110" s="135"/>
      <c r="G110" s="135"/>
      <c r="H110" s="136"/>
      <c r="I110" s="222">
        <f t="shared" si="8"/>
        <v>0</v>
      </c>
      <c r="J110" s="223" t="str">
        <f t="shared" si="16"/>
        <v/>
      </c>
      <c r="L110" s="131">
        <f t="shared" si="2"/>
        <v>0</v>
      </c>
      <c r="M110" s="131">
        <f t="shared" si="3"/>
        <v>0</v>
      </c>
      <c r="N110" s="75">
        <f t="shared" si="4"/>
        <v>45017</v>
      </c>
    </row>
    <row r="111" spans="1:14" x14ac:dyDescent="0.25">
      <c r="A111" s="133"/>
      <c r="B111" s="134"/>
      <c r="C111" s="135"/>
      <c r="D111" s="135"/>
      <c r="E111" s="136"/>
      <c r="F111" s="135"/>
      <c r="G111" s="135"/>
      <c r="H111" s="136"/>
      <c r="I111" s="222">
        <f t="shared" si="8"/>
        <v>0</v>
      </c>
      <c r="J111" s="223" t="str">
        <f t="shared" si="16"/>
        <v/>
      </c>
      <c r="L111" s="131">
        <f t="shared" si="2"/>
        <v>0</v>
      </c>
      <c r="M111" s="131">
        <f t="shared" si="3"/>
        <v>0</v>
      </c>
      <c r="N111" s="75">
        <f t="shared" si="4"/>
        <v>45017</v>
      </c>
    </row>
    <row r="112" spans="1:14" x14ac:dyDescent="0.25">
      <c r="A112" s="133"/>
      <c r="B112" s="134"/>
      <c r="C112" s="135"/>
      <c r="D112" s="135"/>
      <c r="E112" s="136"/>
      <c r="F112" s="135"/>
      <c r="G112" s="135"/>
      <c r="H112" s="136"/>
      <c r="I112" s="222">
        <f t="shared" si="8"/>
        <v>0</v>
      </c>
      <c r="J112" s="223" t="str">
        <f t="shared" ref="J112:J118" si="17">IF(H112="","",IF(H112-E112&gt;365,"LT","ST"))</f>
        <v/>
      </c>
      <c r="L112" s="131">
        <f t="shared" si="2"/>
        <v>0</v>
      </c>
      <c r="M112" s="131">
        <f t="shared" si="3"/>
        <v>0</v>
      </c>
      <c r="N112" s="75">
        <f t="shared" si="4"/>
        <v>45017</v>
      </c>
    </row>
    <row r="113" spans="1:14" x14ac:dyDescent="0.25">
      <c r="A113" s="133"/>
      <c r="B113" s="134"/>
      <c r="C113" s="135"/>
      <c r="D113" s="135"/>
      <c r="E113" s="136"/>
      <c r="F113" s="135"/>
      <c r="G113" s="135"/>
      <c r="H113" s="136"/>
      <c r="I113" s="222">
        <f t="shared" si="8"/>
        <v>0</v>
      </c>
      <c r="J113" s="223" t="str">
        <f t="shared" si="17"/>
        <v/>
      </c>
      <c r="L113" s="131">
        <f t="shared" si="2"/>
        <v>0</v>
      </c>
      <c r="M113" s="131">
        <f t="shared" si="3"/>
        <v>0</v>
      </c>
      <c r="N113" s="75">
        <f t="shared" si="4"/>
        <v>45017</v>
      </c>
    </row>
    <row r="114" spans="1:14" x14ac:dyDescent="0.25">
      <c r="A114" s="133"/>
      <c r="B114" s="134"/>
      <c r="C114" s="135"/>
      <c r="D114" s="135"/>
      <c r="E114" s="136"/>
      <c r="F114" s="135"/>
      <c r="G114" s="135"/>
      <c r="H114" s="136"/>
      <c r="I114" s="222">
        <f t="shared" si="8"/>
        <v>0</v>
      </c>
      <c r="J114" s="223" t="str">
        <f t="shared" si="17"/>
        <v/>
      </c>
      <c r="L114" s="131">
        <f t="shared" si="2"/>
        <v>0</v>
      </c>
      <c r="M114" s="131">
        <f t="shared" si="3"/>
        <v>0</v>
      </c>
      <c r="N114" s="75">
        <f t="shared" si="4"/>
        <v>45017</v>
      </c>
    </row>
    <row r="115" spans="1:14" x14ac:dyDescent="0.25">
      <c r="A115" s="133"/>
      <c r="B115" s="134"/>
      <c r="C115" s="135"/>
      <c r="D115" s="135"/>
      <c r="E115" s="136"/>
      <c r="F115" s="135"/>
      <c r="G115" s="135"/>
      <c r="H115" s="136"/>
      <c r="I115" s="222">
        <f t="shared" si="8"/>
        <v>0</v>
      </c>
      <c r="J115" s="223" t="str">
        <f t="shared" si="17"/>
        <v/>
      </c>
      <c r="L115" s="131">
        <f t="shared" si="2"/>
        <v>0</v>
      </c>
      <c r="M115" s="131">
        <f t="shared" si="3"/>
        <v>0</v>
      </c>
      <c r="N115" s="75">
        <f t="shared" si="4"/>
        <v>45017</v>
      </c>
    </row>
    <row r="116" spans="1:14" x14ac:dyDescent="0.25">
      <c r="A116" s="133"/>
      <c r="B116" s="134"/>
      <c r="C116" s="135"/>
      <c r="D116" s="135"/>
      <c r="E116" s="136"/>
      <c r="F116" s="135"/>
      <c r="G116" s="135"/>
      <c r="H116" s="136"/>
      <c r="I116" s="222">
        <f t="shared" si="8"/>
        <v>0</v>
      </c>
      <c r="J116" s="223" t="str">
        <f t="shared" si="17"/>
        <v/>
      </c>
      <c r="L116" s="131">
        <f t="shared" si="2"/>
        <v>0</v>
      </c>
      <c r="M116" s="131">
        <f t="shared" si="3"/>
        <v>0</v>
      </c>
      <c r="N116" s="75">
        <f t="shared" si="4"/>
        <v>45017</v>
      </c>
    </row>
    <row r="117" spans="1:14" x14ac:dyDescent="0.25">
      <c r="A117" s="133"/>
      <c r="B117" s="134"/>
      <c r="C117" s="135"/>
      <c r="D117" s="135"/>
      <c r="E117" s="136"/>
      <c r="F117" s="135"/>
      <c r="G117" s="135"/>
      <c r="H117" s="136"/>
      <c r="I117" s="222">
        <f t="shared" si="8"/>
        <v>0</v>
      </c>
      <c r="J117" s="223" t="str">
        <f t="shared" si="17"/>
        <v/>
      </c>
      <c r="L117" s="131">
        <f t="shared" si="2"/>
        <v>0</v>
      </c>
      <c r="M117" s="131">
        <f t="shared" si="3"/>
        <v>0</v>
      </c>
      <c r="N117" s="75">
        <f t="shared" si="4"/>
        <v>45017</v>
      </c>
    </row>
    <row r="118" spans="1:14" x14ac:dyDescent="0.25">
      <c r="A118" s="133"/>
      <c r="B118" s="134"/>
      <c r="C118" s="135"/>
      <c r="D118" s="135"/>
      <c r="E118" s="136"/>
      <c r="F118" s="135"/>
      <c r="G118" s="135"/>
      <c r="H118" s="136"/>
      <c r="I118" s="222">
        <f t="shared" si="8"/>
        <v>0</v>
      </c>
      <c r="J118" s="223" t="str">
        <f t="shared" si="17"/>
        <v/>
      </c>
      <c r="L118" s="131">
        <f t="shared" si="2"/>
        <v>0</v>
      </c>
      <c r="M118" s="131">
        <f t="shared" si="3"/>
        <v>0</v>
      </c>
      <c r="N118" s="75">
        <f t="shared" si="4"/>
        <v>45017</v>
      </c>
    </row>
    <row r="119" spans="1:14" x14ac:dyDescent="0.25">
      <c r="A119" s="133"/>
      <c r="B119" s="134"/>
      <c r="C119" s="135"/>
      <c r="D119" s="135"/>
      <c r="E119" s="136"/>
      <c r="F119" s="135"/>
      <c r="G119" s="135"/>
      <c r="H119" s="136"/>
      <c r="I119" s="222">
        <f t="shared" si="8"/>
        <v>0</v>
      </c>
      <c r="J119" s="223" t="str">
        <f t="shared" ref="J119:J141" si="18">IF(H119="","",IF(H119-E119&gt;365,"LT","ST"))</f>
        <v/>
      </c>
      <c r="L119" s="131">
        <f t="shared" si="2"/>
        <v>0</v>
      </c>
      <c r="M119" s="131">
        <f t="shared" si="3"/>
        <v>0</v>
      </c>
      <c r="N119" s="75">
        <f t="shared" si="4"/>
        <v>45017</v>
      </c>
    </row>
    <row r="120" spans="1:14" x14ac:dyDescent="0.25">
      <c r="A120" s="133"/>
      <c r="B120" s="134"/>
      <c r="C120" s="135"/>
      <c r="D120" s="135"/>
      <c r="E120" s="136"/>
      <c r="F120" s="135"/>
      <c r="G120" s="135"/>
      <c r="H120" s="136"/>
      <c r="I120" s="222">
        <f t="shared" si="8"/>
        <v>0</v>
      </c>
      <c r="J120" s="223" t="str">
        <f t="shared" si="18"/>
        <v/>
      </c>
      <c r="L120" s="131">
        <f t="shared" si="2"/>
        <v>0</v>
      </c>
      <c r="M120" s="131">
        <f t="shared" si="3"/>
        <v>0</v>
      </c>
      <c r="N120" s="75">
        <f t="shared" si="4"/>
        <v>45017</v>
      </c>
    </row>
    <row r="121" spans="1:14" x14ac:dyDescent="0.25">
      <c r="A121" s="133"/>
      <c r="B121" s="134"/>
      <c r="C121" s="135"/>
      <c r="D121" s="135"/>
      <c r="E121" s="136"/>
      <c r="F121" s="135"/>
      <c r="G121" s="135"/>
      <c r="H121" s="136"/>
      <c r="I121" s="222">
        <f t="shared" si="8"/>
        <v>0</v>
      </c>
      <c r="J121" s="223" t="str">
        <f t="shared" si="18"/>
        <v/>
      </c>
      <c r="L121" s="131">
        <f t="shared" si="2"/>
        <v>0</v>
      </c>
      <c r="M121" s="131">
        <f t="shared" si="3"/>
        <v>0</v>
      </c>
      <c r="N121" s="75">
        <f t="shared" si="4"/>
        <v>45017</v>
      </c>
    </row>
    <row r="122" spans="1:14" x14ac:dyDescent="0.25">
      <c r="A122" s="133"/>
      <c r="B122" s="134"/>
      <c r="C122" s="135"/>
      <c r="D122" s="135"/>
      <c r="E122" s="136"/>
      <c r="F122" s="135"/>
      <c r="G122" s="135"/>
      <c r="H122" s="136"/>
      <c r="I122" s="222">
        <f t="shared" ref="I122:I156" si="19">B122*((F122-G122)-(C122+D122))</f>
        <v>0</v>
      </c>
      <c r="J122" s="223" t="str">
        <f t="shared" si="18"/>
        <v/>
      </c>
      <c r="L122" s="131">
        <f t="shared" ref="L122:L156" si="20">IF(J122="LT",I122,0)</f>
        <v>0</v>
      </c>
      <c r="M122" s="131">
        <f t="shared" ref="M122:M156" si="21">IF(J122="ST",I122,0)</f>
        <v>0</v>
      </c>
      <c r="N122" s="75">
        <f t="shared" ref="N122:N156" si="22">MAX($Q$5,E122)</f>
        <v>45017</v>
      </c>
    </row>
    <row r="123" spans="1:14" x14ac:dyDescent="0.25">
      <c r="A123" s="133"/>
      <c r="B123" s="134"/>
      <c r="C123" s="135"/>
      <c r="D123" s="135"/>
      <c r="E123" s="136"/>
      <c r="F123" s="135"/>
      <c r="G123" s="135"/>
      <c r="H123" s="136"/>
      <c r="I123" s="222">
        <f t="shared" si="19"/>
        <v>0</v>
      </c>
      <c r="J123" s="223" t="str">
        <f t="shared" si="18"/>
        <v/>
      </c>
      <c r="L123" s="131">
        <f t="shared" si="20"/>
        <v>0</v>
      </c>
      <c r="M123" s="131">
        <f t="shared" si="21"/>
        <v>0</v>
      </c>
      <c r="N123" s="75">
        <f t="shared" si="22"/>
        <v>45017</v>
      </c>
    </row>
    <row r="124" spans="1:14" x14ac:dyDescent="0.25">
      <c r="A124" s="133"/>
      <c r="B124" s="134"/>
      <c r="C124" s="135"/>
      <c r="D124" s="135"/>
      <c r="E124" s="136"/>
      <c r="F124" s="135"/>
      <c r="G124" s="135"/>
      <c r="H124" s="136"/>
      <c r="I124" s="222">
        <f t="shared" si="19"/>
        <v>0</v>
      </c>
      <c r="J124" s="223" t="str">
        <f t="shared" si="18"/>
        <v/>
      </c>
      <c r="L124" s="131">
        <f t="shared" si="20"/>
        <v>0</v>
      </c>
      <c r="M124" s="131">
        <f t="shared" si="21"/>
        <v>0</v>
      </c>
      <c r="N124" s="75">
        <f t="shared" si="22"/>
        <v>45017</v>
      </c>
    </row>
    <row r="125" spans="1:14" x14ac:dyDescent="0.25">
      <c r="A125" s="133"/>
      <c r="B125" s="134"/>
      <c r="C125" s="135"/>
      <c r="D125" s="135"/>
      <c r="E125" s="136"/>
      <c r="F125" s="135"/>
      <c r="G125" s="135"/>
      <c r="H125" s="136"/>
      <c r="I125" s="222">
        <f t="shared" si="19"/>
        <v>0</v>
      </c>
      <c r="J125" s="223" t="str">
        <f t="shared" si="18"/>
        <v/>
      </c>
      <c r="L125" s="131">
        <f t="shared" si="20"/>
        <v>0</v>
      </c>
      <c r="M125" s="131">
        <f t="shared" si="21"/>
        <v>0</v>
      </c>
      <c r="N125" s="75">
        <f t="shared" si="22"/>
        <v>45017</v>
      </c>
    </row>
    <row r="126" spans="1:14" x14ac:dyDescent="0.25">
      <c r="A126" s="133"/>
      <c r="B126" s="134"/>
      <c r="C126" s="135"/>
      <c r="D126" s="135"/>
      <c r="E126" s="136"/>
      <c r="F126" s="135"/>
      <c r="G126" s="135"/>
      <c r="H126" s="136"/>
      <c r="I126" s="222">
        <f t="shared" si="19"/>
        <v>0</v>
      </c>
      <c r="J126" s="223" t="str">
        <f t="shared" si="18"/>
        <v/>
      </c>
      <c r="L126" s="131">
        <f t="shared" si="20"/>
        <v>0</v>
      </c>
      <c r="M126" s="131">
        <f t="shared" si="21"/>
        <v>0</v>
      </c>
      <c r="N126" s="75">
        <f t="shared" si="22"/>
        <v>45017</v>
      </c>
    </row>
    <row r="127" spans="1:14" x14ac:dyDescent="0.25">
      <c r="A127" s="133"/>
      <c r="B127" s="134"/>
      <c r="C127" s="135"/>
      <c r="D127" s="135"/>
      <c r="E127" s="136"/>
      <c r="F127" s="135"/>
      <c r="G127" s="135"/>
      <c r="H127" s="136"/>
      <c r="I127" s="222">
        <f t="shared" si="19"/>
        <v>0</v>
      </c>
      <c r="J127" s="223" t="str">
        <f t="shared" si="18"/>
        <v/>
      </c>
      <c r="L127" s="131">
        <f t="shared" si="20"/>
        <v>0</v>
      </c>
      <c r="M127" s="131">
        <f t="shared" si="21"/>
        <v>0</v>
      </c>
      <c r="N127" s="75">
        <f t="shared" si="22"/>
        <v>45017</v>
      </c>
    </row>
    <row r="128" spans="1:14" x14ac:dyDescent="0.25">
      <c r="A128" s="133"/>
      <c r="B128" s="134"/>
      <c r="C128" s="135"/>
      <c r="D128" s="135"/>
      <c r="E128" s="136"/>
      <c r="F128" s="135"/>
      <c r="G128" s="135"/>
      <c r="H128" s="136"/>
      <c r="I128" s="222">
        <f t="shared" si="19"/>
        <v>0</v>
      </c>
      <c r="J128" s="223" t="str">
        <f t="shared" si="18"/>
        <v/>
      </c>
      <c r="L128" s="131">
        <f t="shared" si="20"/>
        <v>0</v>
      </c>
      <c r="M128" s="131">
        <f t="shared" si="21"/>
        <v>0</v>
      </c>
      <c r="N128" s="75">
        <f t="shared" si="22"/>
        <v>45017</v>
      </c>
    </row>
    <row r="129" spans="1:14" x14ac:dyDescent="0.25">
      <c r="A129" s="133"/>
      <c r="B129" s="134"/>
      <c r="C129" s="135"/>
      <c r="D129" s="135"/>
      <c r="E129" s="136"/>
      <c r="F129" s="135"/>
      <c r="G129" s="135"/>
      <c r="H129" s="136"/>
      <c r="I129" s="222">
        <f t="shared" si="19"/>
        <v>0</v>
      </c>
      <c r="J129" s="223" t="str">
        <f t="shared" si="18"/>
        <v/>
      </c>
      <c r="L129" s="131">
        <f t="shared" si="20"/>
        <v>0</v>
      </c>
      <c r="M129" s="131">
        <f t="shared" si="21"/>
        <v>0</v>
      </c>
      <c r="N129" s="75">
        <f t="shared" si="22"/>
        <v>45017</v>
      </c>
    </row>
    <row r="130" spans="1:14" x14ac:dyDescent="0.25">
      <c r="A130" s="133"/>
      <c r="B130" s="134"/>
      <c r="C130" s="135"/>
      <c r="D130" s="135"/>
      <c r="E130" s="136"/>
      <c r="F130" s="135"/>
      <c r="G130" s="135"/>
      <c r="H130" s="136"/>
      <c r="I130" s="222">
        <f t="shared" si="19"/>
        <v>0</v>
      </c>
      <c r="J130" s="223" t="str">
        <f t="shared" si="18"/>
        <v/>
      </c>
      <c r="L130" s="131">
        <f t="shared" si="20"/>
        <v>0</v>
      </c>
      <c r="M130" s="131">
        <f t="shared" si="21"/>
        <v>0</v>
      </c>
      <c r="N130" s="75">
        <f t="shared" si="22"/>
        <v>45017</v>
      </c>
    </row>
    <row r="131" spans="1:14" x14ac:dyDescent="0.25">
      <c r="A131" s="133"/>
      <c r="B131" s="134"/>
      <c r="C131" s="135"/>
      <c r="D131" s="135"/>
      <c r="E131" s="136"/>
      <c r="F131" s="135"/>
      <c r="G131" s="135"/>
      <c r="H131" s="136"/>
      <c r="I131" s="222">
        <f t="shared" si="19"/>
        <v>0</v>
      </c>
      <c r="J131" s="223" t="str">
        <f t="shared" si="18"/>
        <v/>
      </c>
      <c r="L131" s="131">
        <f t="shared" si="20"/>
        <v>0</v>
      </c>
      <c r="M131" s="131">
        <f t="shared" si="21"/>
        <v>0</v>
      </c>
      <c r="N131" s="75">
        <f t="shared" si="22"/>
        <v>45017</v>
      </c>
    </row>
    <row r="132" spans="1:14" x14ac:dyDescent="0.25">
      <c r="A132" s="133"/>
      <c r="B132" s="134"/>
      <c r="C132" s="135"/>
      <c r="D132" s="135"/>
      <c r="E132" s="136"/>
      <c r="F132" s="135"/>
      <c r="G132" s="135"/>
      <c r="H132" s="136"/>
      <c r="I132" s="222">
        <f t="shared" si="19"/>
        <v>0</v>
      </c>
      <c r="J132" s="223" t="str">
        <f t="shared" si="18"/>
        <v/>
      </c>
      <c r="L132" s="131">
        <f t="shared" si="20"/>
        <v>0</v>
      </c>
      <c r="M132" s="131">
        <f t="shared" si="21"/>
        <v>0</v>
      </c>
      <c r="N132" s="75">
        <f t="shared" si="22"/>
        <v>45017</v>
      </c>
    </row>
    <row r="133" spans="1:14" x14ac:dyDescent="0.25">
      <c r="A133" s="133"/>
      <c r="B133" s="134"/>
      <c r="C133" s="135"/>
      <c r="D133" s="135"/>
      <c r="E133" s="136"/>
      <c r="F133" s="135"/>
      <c r="G133" s="135"/>
      <c r="H133" s="136"/>
      <c r="I133" s="222">
        <f t="shared" si="19"/>
        <v>0</v>
      </c>
      <c r="J133" s="223" t="str">
        <f t="shared" si="18"/>
        <v/>
      </c>
      <c r="L133" s="131">
        <f t="shared" si="20"/>
        <v>0</v>
      </c>
      <c r="M133" s="131">
        <f t="shared" si="21"/>
        <v>0</v>
      </c>
      <c r="N133" s="75">
        <f t="shared" si="22"/>
        <v>45017</v>
      </c>
    </row>
    <row r="134" spans="1:14" x14ac:dyDescent="0.25">
      <c r="A134" s="133"/>
      <c r="B134" s="134"/>
      <c r="C134" s="135"/>
      <c r="D134" s="135"/>
      <c r="E134" s="136"/>
      <c r="F134" s="135"/>
      <c r="G134" s="135"/>
      <c r="H134" s="136"/>
      <c r="I134" s="222">
        <f t="shared" si="19"/>
        <v>0</v>
      </c>
      <c r="J134" s="223" t="str">
        <f t="shared" si="18"/>
        <v/>
      </c>
      <c r="L134" s="131">
        <f t="shared" si="20"/>
        <v>0</v>
      </c>
      <c r="M134" s="131">
        <f t="shared" si="21"/>
        <v>0</v>
      </c>
      <c r="N134" s="75">
        <f t="shared" si="22"/>
        <v>45017</v>
      </c>
    </row>
    <row r="135" spans="1:14" x14ac:dyDescent="0.25">
      <c r="A135" s="133"/>
      <c r="B135" s="134"/>
      <c r="C135" s="135"/>
      <c r="D135" s="135"/>
      <c r="E135" s="136"/>
      <c r="F135" s="135"/>
      <c r="G135" s="135"/>
      <c r="H135" s="136"/>
      <c r="I135" s="222">
        <f t="shared" si="19"/>
        <v>0</v>
      </c>
      <c r="J135" s="223" t="str">
        <f t="shared" si="18"/>
        <v/>
      </c>
      <c r="L135" s="131">
        <f t="shared" si="20"/>
        <v>0</v>
      </c>
      <c r="M135" s="131">
        <f t="shared" si="21"/>
        <v>0</v>
      </c>
      <c r="N135" s="75">
        <f t="shared" si="22"/>
        <v>45017</v>
      </c>
    </row>
    <row r="136" spans="1:14" x14ac:dyDescent="0.25">
      <c r="A136" s="133"/>
      <c r="B136" s="134"/>
      <c r="C136" s="135"/>
      <c r="D136" s="135"/>
      <c r="E136" s="136"/>
      <c r="F136" s="135"/>
      <c r="G136" s="135"/>
      <c r="H136" s="136"/>
      <c r="I136" s="222">
        <f t="shared" si="19"/>
        <v>0</v>
      </c>
      <c r="J136" s="223" t="str">
        <f t="shared" si="18"/>
        <v/>
      </c>
      <c r="L136" s="131">
        <f t="shared" si="20"/>
        <v>0</v>
      </c>
      <c r="M136" s="131">
        <f t="shared" si="21"/>
        <v>0</v>
      </c>
      <c r="N136" s="75">
        <f t="shared" si="22"/>
        <v>45017</v>
      </c>
    </row>
    <row r="137" spans="1:14" x14ac:dyDescent="0.25">
      <c r="A137" s="133"/>
      <c r="B137" s="134"/>
      <c r="C137" s="135"/>
      <c r="D137" s="135"/>
      <c r="E137" s="136"/>
      <c r="F137" s="135"/>
      <c r="G137" s="135"/>
      <c r="H137" s="136"/>
      <c r="I137" s="222">
        <f t="shared" si="19"/>
        <v>0</v>
      </c>
      <c r="J137" s="223" t="str">
        <f t="shared" si="18"/>
        <v/>
      </c>
      <c r="L137" s="131">
        <f t="shared" si="20"/>
        <v>0</v>
      </c>
      <c r="M137" s="131">
        <f t="shared" si="21"/>
        <v>0</v>
      </c>
      <c r="N137" s="75">
        <f t="shared" si="22"/>
        <v>45017</v>
      </c>
    </row>
    <row r="138" spans="1:14" x14ac:dyDescent="0.25">
      <c r="A138" s="133"/>
      <c r="B138" s="134"/>
      <c r="C138" s="135"/>
      <c r="D138" s="135"/>
      <c r="E138" s="136"/>
      <c r="F138" s="135"/>
      <c r="G138" s="135"/>
      <c r="H138" s="136"/>
      <c r="I138" s="222">
        <f t="shared" si="19"/>
        <v>0</v>
      </c>
      <c r="J138" s="223" t="str">
        <f t="shared" si="18"/>
        <v/>
      </c>
      <c r="L138" s="131">
        <f t="shared" si="20"/>
        <v>0</v>
      </c>
      <c r="M138" s="131">
        <f t="shared" si="21"/>
        <v>0</v>
      </c>
      <c r="N138" s="75">
        <f t="shared" si="22"/>
        <v>45017</v>
      </c>
    </row>
    <row r="139" spans="1:14" x14ac:dyDescent="0.25">
      <c r="A139" s="133"/>
      <c r="B139" s="134"/>
      <c r="C139" s="135"/>
      <c r="D139" s="135"/>
      <c r="E139" s="136"/>
      <c r="F139" s="135"/>
      <c r="G139" s="135"/>
      <c r="H139" s="136"/>
      <c r="I139" s="222">
        <f t="shared" si="19"/>
        <v>0</v>
      </c>
      <c r="J139" s="223" t="str">
        <f t="shared" si="18"/>
        <v/>
      </c>
      <c r="L139" s="131">
        <f t="shared" si="20"/>
        <v>0</v>
      </c>
      <c r="M139" s="131">
        <f t="shared" si="21"/>
        <v>0</v>
      </c>
      <c r="N139" s="75">
        <f t="shared" si="22"/>
        <v>45017</v>
      </c>
    </row>
    <row r="140" spans="1:14" x14ac:dyDescent="0.25">
      <c r="A140" s="133"/>
      <c r="B140" s="134"/>
      <c r="C140" s="135"/>
      <c r="D140" s="135"/>
      <c r="E140" s="136"/>
      <c r="F140" s="135"/>
      <c r="G140" s="135"/>
      <c r="H140" s="136"/>
      <c r="I140" s="222">
        <f t="shared" si="19"/>
        <v>0</v>
      </c>
      <c r="J140" s="223" t="str">
        <f t="shared" si="18"/>
        <v/>
      </c>
      <c r="L140" s="131">
        <f t="shared" si="20"/>
        <v>0</v>
      </c>
      <c r="M140" s="131">
        <f t="shared" si="21"/>
        <v>0</v>
      </c>
      <c r="N140" s="75">
        <f t="shared" si="22"/>
        <v>45017</v>
      </c>
    </row>
    <row r="141" spans="1:14" x14ac:dyDescent="0.25">
      <c r="A141" s="133"/>
      <c r="B141" s="134"/>
      <c r="C141" s="135"/>
      <c r="D141" s="135"/>
      <c r="E141" s="136"/>
      <c r="F141" s="135"/>
      <c r="G141" s="135"/>
      <c r="H141" s="136"/>
      <c r="I141" s="222">
        <f t="shared" si="19"/>
        <v>0</v>
      </c>
      <c r="J141" s="223" t="str">
        <f t="shared" si="18"/>
        <v/>
      </c>
      <c r="L141" s="131">
        <f t="shared" si="20"/>
        <v>0</v>
      </c>
      <c r="M141" s="131">
        <f t="shared" si="21"/>
        <v>0</v>
      </c>
      <c r="N141" s="75">
        <f t="shared" si="22"/>
        <v>45017</v>
      </c>
    </row>
    <row r="142" spans="1:14" x14ac:dyDescent="0.25">
      <c r="A142" s="133"/>
      <c r="B142" s="134"/>
      <c r="C142" s="135"/>
      <c r="D142" s="135"/>
      <c r="E142" s="136"/>
      <c r="F142" s="135"/>
      <c r="G142" s="135"/>
      <c r="H142" s="136"/>
      <c r="I142" s="222">
        <f t="shared" si="19"/>
        <v>0</v>
      </c>
      <c r="J142" s="223" t="str">
        <f>IF(H142="","",IF(H142-E142&gt;365,"LT","ST"))</f>
        <v/>
      </c>
      <c r="L142" s="131">
        <f t="shared" si="20"/>
        <v>0</v>
      </c>
      <c r="M142" s="131">
        <f t="shared" si="21"/>
        <v>0</v>
      </c>
      <c r="N142" s="75">
        <f t="shared" si="22"/>
        <v>45017</v>
      </c>
    </row>
    <row r="143" spans="1:14" x14ac:dyDescent="0.25">
      <c r="A143" s="133"/>
      <c r="B143" s="134"/>
      <c r="C143" s="135"/>
      <c r="D143" s="135"/>
      <c r="E143" s="136"/>
      <c r="F143" s="135"/>
      <c r="G143" s="135"/>
      <c r="H143" s="136"/>
      <c r="I143" s="222">
        <f t="shared" si="19"/>
        <v>0</v>
      </c>
      <c r="J143" s="223" t="str">
        <f t="shared" ref="J143:J152" si="23">IF(H143="","",IF(H143-E143&gt;365,"LT","ST"))</f>
        <v/>
      </c>
      <c r="L143" s="131">
        <f t="shared" si="20"/>
        <v>0</v>
      </c>
      <c r="M143" s="131">
        <f t="shared" si="21"/>
        <v>0</v>
      </c>
      <c r="N143" s="75">
        <f t="shared" si="22"/>
        <v>45017</v>
      </c>
    </row>
    <row r="144" spans="1:14" x14ac:dyDescent="0.25">
      <c r="A144" s="133"/>
      <c r="B144" s="134"/>
      <c r="C144" s="135"/>
      <c r="D144" s="135"/>
      <c r="E144" s="136"/>
      <c r="F144" s="135"/>
      <c r="G144" s="135"/>
      <c r="H144" s="136"/>
      <c r="I144" s="222">
        <f t="shared" si="19"/>
        <v>0</v>
      </c>
      <c r="J144" s="223" t="str">
        <f t="shared" si="23"/>
        <v/>
      </c>
      <c r="L144" s="131">
        <f t="shared" si="20"/>
        <v>0</v>
      </c>
      <c r="M144" s="131">
        <f t="shared" si="21"/>
        <v>0</v>
      </c>
      <c r="N144" s="75">
        <f t="shared" si="22"/>
        <v>45017</v>
      </c>
    </row>
    <row r="145" spans="1:16" x14ac:dyDescent="0.25">
      <c r="A145" s="133"/>
      <c r="B145" s="134"/>
      <c r="C145" s="135"/>
      <c r="D145" s="135"/>
      <c r="E145" s="136"/>
      <c r="F145" s="135"/>
      <c r="G145" s="135"/>
      <c r="H145" s="136"/>
      <c r="I145" s="222">
        <f t="shared" si="19"/>
        <v>0</v>
      </c>
      <c r="J145" s="223" t="str">
        <f t="shared" si="23"/>
        <v/>
      </c>
      <c r="L145" s="131">
        <f t="shared" si="20"/>
        <v>0</v>
      </c>
      <c r="M145" s="131">
        <f t="shared" si="21"/>
        <v>0</v>
      </c>
      <c r="N145" s="75">
        <f t="shared" si="22"/>
        <v>45017</v>
      </c>
    </row>
    <row r="146" spans="1:16" x14ac:dyDescent="0.25">
      <c r="A146" s="133"/>
      <c r="B146" s="134"/>
      <c r="C146" s="135"/>
      <c r="D146" s="135"/>
      <c r="E146" s="136"/>
      <c r="F146" s="135"/>
      <c r="G146" s="135"/>
      <c r="H146" s="136"/>
      <c r="I146" s="222">
        <f t="shared" si="19"/>
        <v>0</v>
      </c>
      <c r="J146" s="223" t="str">
        <f t="shared" si="23"/>
        <v/>
      </c>
      <c r="L146" s="131">
        <f t="shared" si="20"/>
        <v>0</v>
      </c>
      <c r="M146" s="131">
        <f t="shared" si="21"/>
        <v>0</v>
      </c>
      <c r="N146" s="75">
        <f t="shared" si="22"/>
        <v>45017</v>
      </c>
    </row>
    <row r="147" spans="1:16" x14ac:dyDescent="0.25">
      <c r="A147" s="133"/>
      <c r="B147" s="134"/>
      <c r="C147" s="135"/>
      <c r="D147" s="135"/>
      <c r="E147" s="136"/>
      <c r="F147" s="135"/>
      <c r="G147" s="135"/>
      <c r="H147" s="136"/>
      <c r="I147" s="222">
        <f t="shared" si="19"/>
        <v>0</v>
      </c>
      <c r="J147" s="223" t="str">
        <f t="shared" si="23"/>
        <v/>
      </c>
      <c r="L147" s="131">
        <f t="shared" si="20"/>
        <v>0</v>
      </c>
      <c r="M147" s="131">
        <f t="shared" si="21"/>
        <v>0</v>
      </c>
      <c r="N147" s="75">
        <f t="shared" si="22"/>
        <v>45017</v>
      </c>
    </row>
    <row r="148" spans="1:16" x14ac:dyDescent="0.25">
      <c r="A148" s="133"/>
      <c r="B148" s="134"/>
      <c r="C148" s="135"/>
      <c r="D148" s="135"/>
      <c r="E148" s="136"/>
      <c r="F148" s="135"/>
      <c r="G148" s="135"/>
      <c r="H148" s="136"/>
      <c r="I148" s="222">
        <f t="shared" si="19"/>
        <v>0</v>
      </c>
      <c r="J148" s="223" t="str">
        <f t="shared" si="23"/>
        <v/>
      </c>
      <c r="L148" s="131">
        <f t="shared" si="20"/>
        <v>0</v>
      </c>
      <c r="M148" s="131">
        <f t="shared" si="21"/>
        <v>0</v>
      </c>
      <c r="N148" s="75">
        <f t="shared" si="22"/>
        <v>45017</v>
      </c>
    </row>
    <row r="149" spans="1:16" x14ac:dyDescent="0.25">
      <c r="A149" s="133"/>
      <c r="B149" s="134"/>
      <c r="C149" s="135"/>
      <c r="D149" s="135"/>
      <c r="E149" s="136"/>
      <c r="F149" s="135"/>
      <c r="G149" s="135"/>
      <c r="H149" s="136"/>
      <c r="I149" s="222">
        <f t="shared" si="19"/>
        <v>0</v>
      </c>
      <c r="J149" s="223" t="str">
        <f t="shared" si="23"/>
        <v/>
      </c>
      <c r="L149" s="131">
        <f t="shared" si="20"/>
        <v>0</v>
      </c>
      <c r="M149" s="131">
        <f t="shared" si="21"/>
        <v>0</v>
      </c>
      <c r="N149" s="75">
        <f t="shared" si="22"/>
        <v>45017</v>
      </c>
    </row>
    <row r="150" spans="1:16" x14ac:dyDescent="0.25">
      <c r="A150" s="133"/>
      <c r="B150" s="134"/>
      <c r="C150" s="135"/>
      <c r="D150" s="135"/>
      <c r="E150" s="136"/>
      <c r="F150" s="135"/>
      <c r="G150" s="135"/>
      <c r="H150" s="136"/>
      <c r="I150" s="222">
        <f t="shared" si="19"/>
        <v>0</v>
      </c>
      <c r="J150" s="223" t="str">
        <f t="shared" si="23"/>
        <v/>
      </c>
      <c r="L150" s="131">
        <f t="shared" si="20"/>
        <v>0</v>
      </c>
      <c r="M150" s="131">
        <f t="shared" si="21"/>
        <v>0</v>
      </c>
      <c r="N150" s="75">
        <f t="shared" si="22"/>
        <v>45017</v>
      </c>
    </row>
    <row r="151" spans="1:16" x14ac:dyDescent="0.25">
      <c r="A151" s="133"/>
      <c r="B151" s="134"/>
      <c r="C151" s="135"/>
      <c r="D151" s="135"/>
      <c r="E151" s="136"/>
      <c r="F151" s="135"/>
      <c r="G151" s="135"/>
      <c r="H151" s="136"/>
      <c r="I151" s="222">
        <f t="shared" si="19"/>
        <v>0</v>
      </c>
      <c r="J151" s="223" t="str">
        <f t="shared" si="23"/>
        <v/>
      </c>
      <c r="L151" s="131">
        <f t="shared" si="20"/>
        <v>0</v>
      </c>
      <c r="M151" s="131">
        <f t="shared" si="21"/>
        <v>0</v>
      </c>
      <c r="N151" s="75">
        <f t="shared" si="22"/>
        <v>45017</v>
      </c>
    </row>
    <row r="152" spans="1:16" x14ac:dyDescent="0.25">
      <c r="A152" s="133"/>
      <c r="B152" s="134"/>
      <c r="C152" s="135"/>
      <c r="D152" s="135"/>
      <c r="E152" s="136"/>
      <c r="F152" s="135"/>
      <c r="G152" s="135"/>
      <c r="H152" s="136"/>
      <c r="I152" s="222">
        <f t="shared" si="19"/>
        <v>0</v>
      </c>
      <c r="J152" s="223" t="str">
        <f t="shared" si="23"/>
        <v/>
      </c>
      <c r="L152" s="131">
        <f t="shared" si="20"/>
        <v>0</v>
      </c>
      <c r="M152" s="131">
        <f t="shared" si="21"/>
        <v>0</v>
      </c>
      <c r="N152" s="75">
        <f t="shared" si="22"/>
        <v>45017</v>
      </c>
    </row>
    <row r="153" spans="1:16" x14ac:dyDescent="0.25">
      <c r="A153" s="133"/>
      <c r="B153" s="134"/>
      <c r="C153" s="135"/>
      <c r="D153" s="135"/>
      <c r="E153" s="136"/>
      <c r="F153" s="135"/>
      <c r="G153" s="135"/>
      <c r="H153" s="136"/>
      <c r="I153" s="222">
        <f t="shared" si="19"/>
        <v>0</v>
      </c>
      <c r="J153" s="223" t="str">
        <f>IF(H153="","",IF(H153-E153&gt;365,"LT","ST"))</f>
        <v/>
      </c>
      <c r="L153" s="131">
        <f t="shared" si="20"/>
        <v>0</v>
      </c>
      <c r="M153" s="131">
        <f t="shared" si="21"/>
        <v>0</v>
      </c>
      <c r="N153" s="75">
        <f t="shared" si="22"/>
        <v>45017</v>
      </c>
    </row>
    <row r="154" spans="1:16" x14ac:dyDescent="0.25">
      <c r="A154" s="133"/>
      <c r="B154" s="134"/>
      <c r="C154" s="135"/>
      <c r="D154" s="135"/>
      <c r="E154" s="136"/>
      <c r="F154" s="135"/>
      <c r="G154" s="135"/>
      <c r="H154" s="136"/>
      <c r="I154" s="222">
        <f t="shared" si="19"/>
        <v>0</v>
      </c>
      <c r="J154" s="223" t="str">
        <f>IF(H154="","",IF(H154-E154&gt;365,"LT","ST"))</f>
        <v/>
      </c>
      <c r="L154" s="131">
        <f t="shared" si="20"/>
        <v>0</v>
      </c>
      <c r="M154" s="131">
        <f t="shared" si="21"/>
        <v>0</v>
      </c>
      <c r="N154" s="75">
        <f t="shared" si="22"/>
        <v>45017</v>
      </c>
    </row>
    <row r="155" spans="1:16" x14ac:dyDescent="0.25">
      <c r="A155" s="133"/>
      <c r="B155" s="134"/>
      <c r="C155" s="135"/>
      <c r="D155" s="135"/>
      <c r="E155" s="136"/>
      <c r="F155" s="135"/>
      <c r="G155" s="135"/>
      <c r="H155" s="136"/>
      <c r="I155" s="222">
        <f t="shared" si="19"/>
        <v>0</v>
      </c>
      <c r="J155" s="223" t="str">
        <f>IF(H155="","",IF(H155-E155&gt;365,"LT","ST"))</f>
        <v/>
      </c>
      <c r="L155" s="131">
        <f t="shared" si="20"/>
        <v>0</v>
      </c>
      <c r="M155" s="131">
        <f t="shared" si="21"/>
        <v>0</v>
      </c>
      <c r="N155" s="75">
        <f t="shared" si="22"/>
        <v>45017</v>
      </c>
    </row>
    <row r="156" spans="1:16" x14ac:dyDescent="0.25">
      <c r="A156" s="133"/>
      <c r="B156" s="134"/>
      <c r="C156" s="135"/>
      <c r="D156" s="135"/>
      <c r="E156" s="136"/>
      <c r="F156" s="135"/>
      <c r="G156" s="135"/>
      <c r="H156" s="136"/>
      <c r="I156" s="222">
        <f t="shared" si="19"/>
        <v>0</v>
      </c>
      <c r="J156" s="223" t="str">
        <f>IF(H156="","",IF(H156-E156&gt;365,"LT","ST"))</f>
        <v/>
      </c>
      <c r="L156" s="131">
        <f t="shared" si="20"/>
        <v>0</v>
      </c>
      <c r="M156" s="131">
        <f t="shared" si="21"/>
        <v>0</v>
      </c>
      <c r="N156" s="75">
        <f t="shared" si="22"/>
        <v>45017</v>
      </c>
    </row>
    <row r="157" spans="1:16" x14ac:dyDescent="0.25"/>
    <row r="158" spans="1:16" x14ac:dyDescent="0.25">
      <c r="A158" s="390" t="s">
        <v>229</v>
      </c>
      <c r="B158" s="390"/>
      <c r="C158" s="390"/>
      <c r="D158" s="390"/>
      <c r="E158" s="390"/>
      <c r="F158" s="390"/>
      <c r="G158" s="390"/>
      <c r="H158" s="390"/>
      <c r="I158" s="391">
        <f>M158</f>
        <v>0</v>
      </c>
      <c r="J158" s="392"/>
      <c r="K158" s="137"/>
      <c r="L158" s="132">
        <f>SUM(L7:L156)</f>
        <v>0</v>
      </c>
      <c r="M158" s="132">
        <f>SUM(M7:M156)</f>
        <v>0</v>
      </c>
      <c r="P158" s="264"/>
    </row>
    <row r="159" spans="1:16" x14ac:dyDescent="0.25">
      <c r="A159" s="390" t="s">
        <v>230</v>
      </c>
      <c r="B159" s="390"/>
      <c r="C159" s="390"/>
      <c r="D159" s="390"/>
      <c r="E159" s="390"/>
      <c r="F159" s="390"/>
      <c r="G159" s="390"/>
      <c r="H159" s="390"/>
      <c r="I159" s="391">
        <f>L158</f>
        <v>0</v>
      </c>
      <c r="J159" s="392"/>
      <c r="K159" s="137"/>
    </row>
    <row r="160" spans="1:16" x14ac:dyDescent="0.25">
      <c r="A160" s="390" t="s">
        <v>231</v>
      </c>
      <c r="B160" s="390"/>
      <c r="C160" s="390"/>
      <c r="D160" s="390"/>
      <c r="E160" s="390"/>
      <c r="F160" s="390"/>
      <c r="G160" s="390"/>
      <c r="H160" s="390"/>
      <c r="I160" s="391">
        <f>SUM(I158:J159)</f>
        <v>0</v>
      </c>
      <c r="J160" s="392"/>
      <c r="K160" s="137"/>
    </row>
    <row r="161" spans="1:10" x14ac:dyDescent="0.25">
      <c r="A161" s="384" t="str">
        <f>Copyright</f>
        <v>© 1997-2024, Nithyanand Yeswanth (taxcalc@ynithya.com)</v>
      </c>
      <c r="B161" s="385"/>
      <c r="C161" s="385"/>
      <c r="D161" s="385"/>
      <c r="E161" s="385"/>
      <c r="F161" s="385"/>
      <c r="G161" s="385"/>
      <c r="H161" s="385"/>
      <c r="I161" s="385"/>
      <c r="J161" s="385"/>
    </row>
    <row r="162" spans="1:10" x14ac:dyDescent="0.25">
      <c r="B162" s="84"/>
      <c r="C162" s="84"/>
      <c r="D162" s="84"/>
      <c r="E162" s="84"/>
      <c r="F162" s="84"/>
      <c r="G162" s="84"/>
      <c r="H162" s="75"/>
      <c r="I162" s="75"/>
    </row>
    <row r="163" spans="1:10" x14ac:dyDescent="0.25">
      <c r="A163" s="67" t="s">
        <v>173</v>
      </c>
    </row>
    <row r="164" spans="1:10" x14ac:dyDescent="0.25">
      <c r="A164" s="387" t="s">
        <v>216</v>
      </c>
      <c r="B164" s="387"/>
      <c r="C164" s="387"/>
      <c r="D164" s="387"/>
      <c r="E164" s="387"/>
      <c r="F164" s="387"/>
      <c r="G164" s="387"/>
      <c r="H164" s="387"/>
      <c r="I164" s="387"/>
      <c r="J164" s="387"/>
    </row>
    <row r="165" spans="1:10" x14ac:dyDescent="0.25">
      <c r="A165" s="383" t="s">
        <v>233</v>
      </c>
      <c r="B165" s="383"/>
      <c r="C165" s="383"/>
      <c r="D165" s="383"/>
      <c r="E165" s="383"/>
      <c r="F165" s="383"/>
      <c r="G165" s="383"/>
      <c r="H165" s="383"/>
      <c r="I165" s="383"/>
      <c r="J165" s="383"/>
    </row>
    <row r="166" spans="1:10" x14ac:dyDescent="0.25">
      <c r="A166" s="382" t="s">
        <v>263</v>
      </c>
      <c r="B166" s="383"/>
      <c r="C166" s="383"/>
      <c r="D166" s="383"/>
      <c r="E166" s="383"/>
      <c r="F166" s="383"/>
      <c r="G166" s="383"/>
      <c r="H166" s="383"/>
      <c r="I166" s="383"/>
      <c r="J166" s="383"/>
    </row>
    <row r="167" spans="1:10" ht="12.75" customHeight="1" x14ac:dyDescent="0.25">
      <c r="A167" s="68"/>
      <c r="B167" s="100"/>
      <c r="C167" s="100"/>
      <c r="D167" s="100"/>
      <c r="E167" s="100"/>
      <c r="F167" s="100"/>
      <c r="G167" s="100"/>
      <c r="H167" s="101"/>
    </row>
    <row r="168" spans="1:10" hidden="1" x14ac:dyDescent="0.25">
      <c r="A168" s="68"/>
      <c r="B168" s="100"/>
      <c r="C168" s="100"/>
      <c r="D168" s="100"/>
      <c r="E168" s="100"/>
      <c r="F168" s="100"/>
      <c r="G168" s="100"/>
      <c r="H168" s="101"/>
    </row>
    <row r="169" spans="1:10" hidden="1" x14ac:dyDescent="0.25">
      <c r="A169" s="68"/>
      <c r="B169" s="100"/>
      <c r="C169" s="100"/>
      <c r="D169" s="100"/>
      <c r="E169" s="100"/>
      <c r="F169" s="100"/>
      <c r="G169" s="100"/>
      <c r="H169" s="101"/>
    </row>
    <row r="170" spans="1:10" hidden="1" x14ac:dyDescent="0.25">
      <c r="A170" s="68"/>
      <c r="B170" s="100"/>
      <c r="C170" s="100"/>
      <c r="D170" s="100"/>
      <c r="E170" s="100"/>
      <c r="F170" s="100"/>
      <c r="G170" s="100"/>
      <c r="H170" s="101"/>
    </row>
    <row r="171" spans="1:10" hidden="1" x14ac:dyDescent="0.25">
      <c r="A171" s="68"/>
      <c r="B171" s="100"/>
      <c r="C171" s="100"/>
      <c r="D171" s="100"/>
      <c r="E171" s="100"/>
      <c r="F171" s="100"/>
      <c r="G171" s="100"/>
      <c r="H171" s="101"/>
    </row>
    <row r="172" spans="1:10" hidden="1" x14ac:dyDescent="0.25">
      <c r="A172" s="68"/>
      <c r="B172" s="100"/>
      <c r="C172" s="100"/>
      <c r="D172" s="100"/>
      <c r="E172" s="100"/>
      <c r="F172" s="100"/>
      <c r="G172" s="100"/>
      <c r="H172" s="101"/>
    </row>
    <row r="173" spans="1:10" hidden="1" x14ac:dyDescent="0.25">
      <c r="A173" s="103"/>
      <c r="B173" s="100"/>
      <c r="C173" s="100"/>
      <c r="D173" s="100"/>
      <c r="E173" s="100"/>
      <c r="F173" s="100"/>
      <c r="G173" s="100"/>
      <c r="H173" s="101"/>
    </row>
    <row r="174" spans="1:10" hidden="1" x14ac:dyDescent="0.25">
      <c r="A174" s="103"/>
      <c r="B174" s="100"/>
      <c r="C174" s="100"/>
      <c r="D174" s="100"/>
      <c r="E174" s="100"/>
      <c r="F174" s="100"/>
      <c r="G174" s="100"/>
      <c r="H174" s="101"/>
    </row>
    <row r="175" spans="1:10" hidden="1" x14ac:dyDescent="0.25">
      <c r="A175" s="103"/>
      <c r="B175" s="100"/>
      <c r="C175" s="100"/>
      <c r="D175" s="100"/>
      <c r="E175" s="100"/>
      <c r="F175" s="100"/>
      <c r="G175" s="100"/>
      <c r="H175" s="101"/>
    </row>
    <row r="176" spans="1:10" hidden="1" x14ac:dyDescent="0.25">
      <c r="A176" s="103"/>
      <c r="B176" s="100"/>
      <c r="C176" s="100"/>
      <c r="D176" s="100"/>
      <c r="E176" s="100"/>
      <c r="F176" s="100"/>
      <c r="G176" s="100"/>
      <c r="H176" s="101"/>
    </row>
    <row r="177" spans="1:7" s="72" customFormat="1" hidden="1" x14ac:dyDescent="0.25">
      <c r="A177" s="103"/>
      <c r="B177" s="100"/>
      <c r="C177" s="100"/>
      <c r="D177" s="100"/>
      <c r="E177" s="100"/>
      <c r="F177" s="100"/>
      <c r="G177" s="100"/>
    </row>
    <row r="178" spans="1:7" s="72" customFormat="1" hidden="1" x14ac:dyDescent="0.25">
      <c r="A178" s="103"/>
      <c r="B178" s="100"/>
      <c r="C178" s="100"/>
      <c r="D178" s="100"/>
      <c r="E178" s="100"/>
      <c r="F178" s="100"/>
      <c r="G178" s="100"/>
    </row>
    <row r="179" spans="1:7" s="72" customFormat="1" hidden="1" x14ac:dyDescent="0.25">
      <c r="A179" s="103"/>
      <c r="B179" s="100"/>
      <c r="C179" s="100"/>
      <c r="D179" s="100"/>
      <c r="E179" s="100"/>
      <c r="F179" s="100"/>
      <c r="G179" s="100"/>
    </row>
    <row r="180" spans="1:7" s="72" customFormat="1" hidden="1" x14ac:dyDescent="0.25">
      <c r="A180" s="103"/>
      <c r="B180" s="100"/>
      <c r="C180" s="100"/>
      <c r="D180" s="100"/>
      <c r="E180" s="100"/>
      <c r="F180" s="100"/>
      <c r="G180" s="100"/>
    </row>
    <row r="181" spans="1:7" s="72" customFormat="1" hidden="1" x14ac:dyDescent="0.25">
      <c r="A181" s="103"/>
      <c r="B181" s="100"/>
      <c r="C181" s="100"/>
      <c r="D181" s="100"/>
      <c r="E181" s="100"/>
      <c r="F181" s="100"/>
      <c r="G181" s="100"/>
    </row>
    <row r="182" spans="1:7" s="72" customFormat="1" hidden="1" x14ac:dyDescent="0.25">
      <c r="A182" s="103"/>
      <c r="B182" s="100"/>
      <c r="C182" s="100"/>
      <c r="D182" s="100"/>
      <c r="E182" s="100"/>
      <c r="F182" s="100"/>
      <c r="G182" s="100"/>
    </row>
    <row r="183" spans="1:7" s="72" customFormat="1" hidden="1" x14ac:dyDescent="0.25">
      <c r="A183" s="103"/>
      <c r="B183" s="100"/>
      <c r="C183" s="100"/>
      <c r="D183" s="100"/>
      <c r="E183" s="100"/>
      <c r="F183" s="100"/>
      <c r="G183" s="100"/>
    </row>
    <row r="184" spans="1:7" s="72" customFormat="1" hidden="1" x14ac:dyDescent="0.25">
      <c r="A184" s="103"/>
      <c r="B184" s="100"/>
      <c r="C184" s="100"/>
      <c r="D184" s="100"/>
      <c r="E184" s="100"/>
      <c r="F184" s="100"/>
      <c r="G184" s="100"/>
    </row>
    <row r="185" spans="1:7" s="72" customFormat="1" hidden="1" x14ac:dyDescent="0.25">
      <c r="A185" s="103"/>
      <c r="B185" s="100"/>
      <c r="C185" s="100"/>
      <c r="D185" s="100"/>
      <c r="E185" s="100"/>
      <c r="F185" s="100"/>
      <c r="G185" s="100"/>
    </row>
    <row r="186" spans="1:7" s="72" customFormat="1" hidden="1" x14ac:dyDescent="0.25">
      <c r="A186" s="103"/>
      <c r="B186" s="100"/>
      <c r="C186" s="100"/>
      <c r="D186" s="100"/>
      <c r="E186" s="100"/>
      <c r="F186" s="100"/>
      <c r="G186" s="100"/>
    </row>
    <row r="187" spans="1:7" s="72" customFormat="1" hidden="1" x14ac:dyDescent="0.25">
      <c r="A187" s="100"/>
      <c r="B187" s="100"/>
      <c r="C187" s="100"/>
      <c r="D187" s="100"/>
      <c r="E187" s="100"/>
      <c r="F187" s="100"/>
      <c r="G187" s="100"/>
    </row>
    <row r="188" spans="1:7" s="72" customFormat="1" hidden="1" x14ac:dyDescent="0.25">
      <c r="A188" s="100"/>
      <c r="B188" s="100"/>
      <c r="C188" s="100"/>
      <c r="D188" s="100"/>
      <c r="E188" s="100"/>
      <c r="F188" s="100"/>
      <c r="G188" s="100"/>
    </row>
    <row r="189" spans="1:7" s="72" customFormat="1" hidden="1" x14ac:dyDescent="0.25">
      <c r="A189" s="100"/>
      <c r="B189" s="100"/>
      <c r="C189" s="100"/>
      <c r="D189" s="100"/>
      <c r="E189" s="100"/>
      <c r="F189" s="100"/>
      <c r="G189" s="100"/>
    </row>
    <row r="190" spans="1:7" s="72" customFormat="1" hidden="1" x14ac:dyDescent="0.25"/>
    <row r="191" spans="1:7" s="72" customFormat="1" hidden="1" x14ac:dyDescent="0.25"/>
  </sheetData>
  <sheetProtection algorithmName="SHA-512" hashValue="YMUc2bCDlDT+aQlJ9lmTDl9rx8RsIx8p2QGS4j7BZ/VtDODEnFpMaQy/QWW345Wc1tTo4iprOsGnQu4c+z7TRg==" saltValue="IRe6RVhDsg7UQUQYXb0Bkw==" spinCount="100000" sheet="1" scenarios="1"/>
  <mergeCells count="19">
    <mergeCell ref="A1:J1"/>
    <mergeCell ref="A3:J3"/>
    <mergeCell ref="J5:J6"/>
    <mergeCell ref="I5:I6"/>
    <mergeCell ref="C5:E5"/>
    <mergeCell ref="F5:H5"/>
    <mergeCell ref="A5:A6"/>
    <mergeCell ref="B5:B6"/>
    <mergeCell ref="A158:H158"/>
    <mergeCell ref="A159:H159"/>
    <mergeCell ref="A160:H160"/>
    <mergeCell ref="A166:J166"/>
    <mergeCell ref="A2:J2"/>
    <mergeCell ref="A161:J161"/>
    <mergeCell ref="I158:J158"/>
    <mergeCell ref="I159:J159"/>
    <mergeCell ref="I160:J160"/>
    <mergeCell ref="A165:J165"/>
    <mergeCell ref="A164:J164"/>
  </mergeCells>
  <phoneticPr fontId="11" type="noConversion"/>
  <conditionalFormatting sqref="A1">
    <cfRule type="cellIs" dxfId="7" priority="1" stopIfTrue="1" operator="equal">
      <formula>"PLEASE ENTER YOUR NAME HERE"</formula>
    </cfRule>
  </conditionalFormatting>
  <dataValidations count="5">
    <dataValidation type="date" allowBlank="1" showInputMessage="1" showErrorMessage="1" errorTitle="Invalid Date!" error="Selling Date should be after Purchase Date and within current financial year" sqref="H7:H156" xr:uid="{00000000-0002-0000-0400-000000000000}">
      <formula1>N7</formula1>
      <formula2>$Q$6</formula2>
    </dataValidation>
    <dataValidation allowBlank="1" showErrorMessage="1" errorTitle="Invalid Input!" error="Please enter a positive number for loan amount!" sqref="A7:A156 I7:J156" xr:uid="{00000000-0002-0000-0400-000001000000}"/>
    <dataValidation type="whole" allowBlank="1" showInputMessage="1" showErrorMessage="1" errorTitle="Invalid Number!" error="Please enter only positive whole numbers" sqref="B7:B156" xr:uid="{00000000-0002-0000-0400-000002000000}">
      <formula1>0</formula1>
      <formula2>100000</formula2>
    </dataValidation>
    <dataValidation type="decimal" allowBlank="1" showInputMessage="1" showErrorMessage="1" errorTitle="Invalid Price!" error="Enter only positive numbers" sqref="C7:D156 F7:G156" xr:uid="{00000000-0002-0000-0400-000003000000}">
      <formula1>0</formula1>
      <formula2>100000</formula2>
    </dataValidation>
    <dataValidation type="date" operator="lessThanOrEqual" allowBlank="1" showInputMessage="1" showErrorMessage="1" errorTitle="Invalid Date!" error="Purchase Date should not be beyond current financial year" sqref="E7:E156" xr:uid="{00000000-0002-0000-0400-000004000000}">
      <formula1>$Q$6</formula1>
    </dataValidation>
  </dataValidations>
  <printOptions horizontalCentered="1"/>
  <pageMargins left="0.25" right="0.25" top="0.75" bottom="0.75" header="0.3" footer="0.3"/>
  <pageSetup paperSize="9" scale="93" fitToHeight="0" orientation="portrait" r:id="rId1"/>
  <headerFooter>
    <oddHeader>&amp;L&amp;"Verdana,Bold"&amp;D&amp;C&amp;"Verdana,Bold"Capital Gains Tax Calculation&amp;R&amp;"Verdana,Bold"Page &amp;P of &amp;N</oddHeader>
    <oddFooter>&amp;L&amp;"Tahoma,Regular"Free Download from http://taxcalc.ynithya.com/&amp;C&amp;"Tahoma,Regular"(Version 26.1)&amp;R&amp;"Tahoma,Regular"© 1997-2024, Nithyanand Yeswanth</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pageSetUpPr fitToPage="1"/>
  </sheetPr>
  <dimension ref="A1:O156"/>
  <sheetViews>
    <sheetView showGridLines="0" zoomScaleNormal="100" workbookViewId="0">
      <selection activeCell="A7" sqref="A7:B7"/>
    </sheetView>
  </sheetViews>
  <sheetFormatPr defaultColWidth="0" defaultRowHeight="12.75" zeroHeight="1" x14ac:dyDescent="0.25"/>
  <cols>
    <col min="1" max="1" width="50.83203125" style="72" customWidth="1"/>
    <col min="2" max="3" width="10.83203125" style="72" customWidth="1"/>
    <col min="4" max="4" width="12.83203125" style="72" customWidth="1"/>
    <col min="5" max="5" width="10.83203125" style="72" customWidth="1"/>
    <col min="6" max="7" width="12.83203125" style="72" customWidth="1"/>
    <col min="8" max="8" width="6.83203125" style="100" customWidth="1"/>
    <col min="9" max="9" width="0.33203125" style="72" customWidth="1"/>
    <col min="10" max="11" width="10.83203125" style="72" hidden="1" customWidth="1"/>
    <col min="12" max="12" width="14" style="72" hidden="1" customWidth="1"/>
    <col min="13" max="16384" width="10.83203125" style="72" hidden="1"/>
  </cols>
  <sheetData>
    <row r="1" spans="1:15" s="33" customFormat="1" ht="30" customHeight="1" x14ac:dyDescent="0.25">
      <c r="A1" s="388" t="str">
        <f>Instructions!B7</f>
        <v>PLEASE ENTER YOUR NAME HERE</v>
      </c>
      <c r="B1" s="388"/>
      <c r="C1" s="388"/>
      <c r="D1" s="388"/>
      <c r="E1" s="388"/>
      <c r="F1" s="388"/>
      <c r="G1" s="388"/>
      <c r="H1" s="388"/>
    </row>
    <row r="2" spans="1:15" ht="18" customHeight="1" x14ac:dyDescent="0.25">
      <c r="A2" s="389" t="s">
        <v>346</v>
      </c>
      <c r="B2" s="389"/>
      <c r="C2" s="389"/>
      <c r="D2" s="389"/>
      <c r="E2" s="389"/>
      <c r="F2" s="389"/>
      <c r="G2" s="389"/>
      <c r="H2" s="389"/>
      <c r="N2" s="72" t="s">
        <v>224</v>
      </c>
      <c r="O2" s="128">
        <v>0.2</v>
      </c>
    </row>
    <row r="3" spans="1:15" x14ac:dyDescent="0.25">
      <c r="A3" s="393" t="s">
        <v>334</v>
      </c>
      <c r="B3" s="393"/>
      <c r="C3" s="394"/>
      <c r="D3" s="394"/>
      <c r="E3" s="394"/>
      <c r="F3" s="394"/>
      <c r="G3" s="394"/>
      <c r="H3" s="394"/>
      <c r="O3" s="128"/>
    </row>
    <row r="4" spans="1:15" x14ac:dyDescent="0.25">
      <c r="C4" s="84"/>
      <c r="D4" s="84"/>
      <c r="E4" s="84"/>
      <c r="F4" s="75"/>
      <c r="G4" s="75"/>
    </row>
    <row r="5" spans="1:15" ht="12.75" customHeight="1" x14ac:dyDescent="0.25">
      <c r="A5" s="406" t="s">
        <v>348</v>
      </c>
      <c r="B5" s="224"/>
      <c r="C5" s="396" t="s">
        <v>210</v>
      </c>
      <c r="D5" s="396"/>
      <c r="E5" s="396" t="s">
        <v>211</v>
      </c>
      <c r="F5" s="396"/>
      <c r="G5" s="397" t="s">
        <v>212</v>
      </c>
      <c r="H5" s="395" t="s">
        <v>215</v>
      </c>
      <c r="N5" s="72" t="s">
        <v>213</v>
      </c>
      <c r="O5" s="75">
        <f>Perquisites!P8</f>
        <v>45017</v>
      </c>
    </row>
    <row r="6" spans="1:15" x14ac:dyDescent="0.25">
      <c r="A6" s="406"/>
      <c r="B6" s="225"/>
      <c r="C6" s="221" t="s">
        <v>208</v>
      </c>
      <c r="D6" s="221" t="s">
        <v>209</v>
      </c>
      <c r="E6" s="221" t="s">
        <v>208</v>
      </c>
      <c r="F6" s="221" t="s">
        <v>209</v>
      </c>
      <c r="G6" s="397"/>
      <c r="H6" s="396"/>
      <c r="J6" s="130" t="s">
        <v>227</v>
      </c>
      <c r="K6" s="130" t="s">
        <v>228</v>
      </c>
      <c r="L6" s="130" t="s">
        <v>232</v>
      </c>
      <c r="N6" s="72" t="s">
        <v>214</v>
      </c>
      <c r="O6" s="75">
        <f>DATE(YEAR(O5)+1,3,31)</f>
        <v>45382</v>
      </c>
    </row>
    <row r="7" spans="1:15" x14ac:dyDescent="0.25">
      <c r="A7" s="404"/>
      <c r="B7" s="405"/>
      <c r="C7" s="134"/>
      <c r="D7" s="136"/>
      <c r="E7" s="134"/>
      <c r="F7" s="136"/>
      <c r="G7" s="222">
        <f t="shared" ref="G7:G12" ca="1" si="0">J7+K7</f>
        <v>0</v>
      </c>
      <c r="H7" s="223" t="str">
        <f t="shared" ref="H7:H12" si="1">IF(OR(F7="",D7=""),"",IF(F7-D7&gt;730,"LT","ST"))</f>
        <v/>
      </c>
      <c r="J7" s="131">
        <f ca="1">IF(H7="LT",E7-C7*INDIRECT("'Cost Inflation Index'!C"&amp;ROWS(CostInflationTable[#All]))/VLOOKUP(M7,CostInflationTable[[#All],[Yr begin]:[CII]],2,0),0)</f>
        <v>0</v>
      </c>
      <c r="K7" s="131">
        <f>IF(H7="ST",E7-C7,0)</f>
        <v>0</v>
      </c>
      <c r="L7" s="75">
        <f t="shared" ref="L7:L12" si="2">MAX($O$5,D7)</f>
        <v>45017</v>
      </c>
      <c r="M7" s="72" t="str">
        <f>TEXT(YEAR(D7)-IF(MONTH(D7)&lt;4,1,0),"0")</f>
        <v>1899</v>
      </c>
      <c r="N7" s="147" t="s">
        <v>381</v>
      </c>
      <c r="O7" s="75">
        <v>36982</v>
      </c>
    </row>
    <row r="8" spans="1:15" x14ac:dyDescent="0.25">
      <c r="A8" s="404"/>
      <c r="B8" s="405"/>
      <c r="C8" s="134"/>
      <c r="D8" s="136"/>
      <c r="E8" s="134"/>
      <c r="F8" s="136"/>
      <c r="G8" s="222">
        <f t="shared" ca="1" si="0"/>
        <v>0</v>
      </c>
      <c r="H8" s="223" t="str">
        <f t="shared" si="1"/>
        <v/>
      </c>
      <c r="J8" s="131">
        <f ca="1">IF(H8="LT",E8-C8*INDIRECT("'Cost Inflation Index'!C"&amp;ROWS(CostInflationTable[#All]))/VLOOKUP(M8,CostInflationTable[[#All],[Yr begin]:[CII]],2,0),0)</f>
        <v>0</v>
      </c>
      <c r="K8" s="131">
        <f t="shared" ref="K8:K12" si="3">IF(H8="ST",E8-C8,0)</f>
        <v>0</v>
      </c>
      <c r="L8" s="75">
        <f t="shared" si="2"/>
        <v>45017</v>
      </c>
      <c r="M8" s="72" t="str">
        <f t="shared" ref="M8:M12" si="4">TEXT(YEAR(D8)-IF(MONTH(D8)&lt;4,1,0),"0")</f>
        <v>1899</v>
      </c>
    </row>
    <row r="9" spans="1:15" x14ac:dyDescent="0.25">
      <c r="A9" s="404"/>
      <c r="B9" s="405"/>
      <c r="C9" s="134"/>
      <c r="D9" s="136"/>
      <c r="E9" s="134"/>
      <c r="F9" s="136"/>
      <c r="G9" s="222">
        <f t="shared" ca="1" si="0"/>
        <v>0</v>
      </c>
      <c r="H9" s="223" t="str">
        <f t="shared" si="1"/>
        <v/>
      </c>
      <c r="J9" s="131">
        <f ca="1">IF(H9="LT",E9-C9*INDIRECT("'Cost Inflation Index'!C"&amp;ROWS(CostInflationTable[#All]))/VLOOKUP(M9,CostInflationTable[[#All],[Yr begin]:[CII]],2,0),0)</f>
        <v>0</v>
      </c>
      <c r="K9" s="131">
        <f t="shared" ref="K9:K10" si="5">IF(H9="ST",E9-C9,0)</f>
        <v>0</v>
      </c>
      <c r="L9" s="75">
        <f t="shared" si="2"/>
        <v>45017</v>
      </c>
      <c r="M9" s="72" t="str">
        <f t="shared" ref="M9:M10" si="6">TEXT(YEAR(D9)-IF(MONTH(D9)&lt;4,1,0),"0")</f>
        <v>1899</v>
      </c>
    </row>
    <row r="10" spans="1:15" x14ac:dyDescent="0.25">
      <c r="A10" s="404"/>
      <c r="B10" s="405"/>
      <c r="C10" s="134"/>
      <c r="D10" s="136"/>
      <c r="E10" s="134"/>
      <c r="F10" s="136"/>
      <c r="G10" s="222">
        <f t="shared" ca="1" si="0"/>
        <v>0</v>
      </c>
      <c r="H10" s="223" t="str">
        <f t="shared" si="1"/>
        <v/>
      </c>
      <c r="J10" s="131">
        <f ca="1">IF(H10="LT",E10-C10*INDIRECT("'Cost Inflation Index'!C"&amp;ROWS(CostInflationTable[#All]))/VLOOKUP(M10,CostInflationTable[[#All],[Yr begin]:[CII]],2,0),0)</f>
        <v>0</v>
      </c>
      <c r="K10" s="131">
        <f t="shared" si="5"/>
        <v>0</v>
      </c>
      <c r="L10" s="75">
        <f t="shared" si="2"/>
        <v>45017</v>
      </c>
      <c r="M10" s="72" t="str">
        <f t="shared" si="6"/>
        <v>1899</v>
      </c>
    </row>
    <row r="11" spans="1:15" x14ac:dyDescent="0.25">
      <c r="A11" s="404"/>
      <c r="B11" s="405"/>
      <c r="C11" s="134"/>
      <c r="D11" s="136"/>
      <c r="E11" s="134"/>
      <c r="F11" s="136"/>
      <c r="G11" s="222">
        <f t="shared" ca="1" si="0"/>
        <v>0</v>
      </c>
      <c r="H11" s="223" t="str">
        <f t="shared" si="1"/>
        <v/>
      </c>
      <c r="J11" s="131">
        <f ca="1">IF(H11="LT",E11-C11*INDIRECT("'Cost Inflation Index'!C"&amp;ROWS(CostInflationTable[#All]))/VLOOKUP(M11,CostInflationTable[[#All],[Yr begin]:[CII]],2,0),0)</f>
        <v>0</v>
      </c>
      <c r="K11" s="131">
        <f t="shared" si="3"/>
        <v>0</v>
      </c>
      <c r="L11" s="75">
        <f t="shared" si="2"/>
        <v>45017</v>
      </c>
      <c r="M11" s="72" t="str">
        <f t="shared" si="4"/>
        <v>1899</v>
      </c>
    </row>
    <row r="12" spans="1:15" x14ac:dyDescent="0.25">
      <c r="A12" s="404"/>
      <c r="B12" s="405"/>
      <c r="C12" s="134"/>
      <c r="D12" s="136"/>
      <c r="E12" s="134"/>
      <c r="F12" s="136"/>
      <c r="G12" s="222">
        <f t="shared" ca="1" si="0"/>
        <v>0</v>
      </c>
      <c r="H12" s="223" t="str">
        <f t="shared" si="1"/>
        <v/>
      </c>
      <c r="J12" s="131">
        <f ca="1">IF(H12="LT",E12-C12*INDIRECT("'Cost Inflation Index'!C"&amp;ROWS(CostInflationTable[#All]))/VLOOKUP(M12,CostInflationTable[[#All],[Yr begin]:[CII]],2,0),0)</f>
        <v>0</v>
      </c>
      <c r="K12" s="131">
        <f t="shared" si="3"/>
        <v>0</v>
      </c>
      <c r="L12" s="75">
        <f t="shared" si="2"/>
        <v>45017</v>
      </c>
      <c r="M12" s="72" t="str">
        <f t="shared" si="4"/>
        <v>1899</v>
      </c>
    </row>
    <row r="13" spans="1:15" x14ac:dyDescent="0.25"/>
    <row r="14" spans="1:15" x14ac:dyDescent="0.25">
      <c r="A14" s="399" t="s">
        <v>350</v>
      </c>
      <c r="B14" s="400"/>
      <c r="C14" s="400"/>
      <c r="D14" s="400"/>
      <c r="E14" s="400"/>
      <c r="F14" s="401"/>
      <c r="G14" s="391">
        <f>IF(K14&gt;=0,K14,L14)</f>
        <v>0</v>
      </c>
      <c r="H14" s="392"/>
      <c r="I14" s="137"/>
      <c r="J14" s="132">
        <f ca="1">SUM(J7:J12)</f>
        <v>0</v>
      </c>
      <c r="K14" s="132">
        <f>SUM(K7:K12)</f>
        <v>0</v>
      </c>
      <c r="L14" s="160">
        <f ca="1">IF(J14&gt;0,K14+MIN(J14,ABS(K14)),K14)</f>
        <v>0</v>
      </c>
    </row>
    <row r="15" spans="1:15" x14ac:dyDescent="0.25">
      <c r="A15" s="390" t="s">
        <v>351</v>
      </c>
      <c r="B15" s="390"/>
      <c r="C15" s="390"/>
      <c r="D15" s="390"/>
      <c r="E15" s="390"/>
      <c r="F15" s="390"/>
      <c r="G15" s="391">
        <f ca="1">IF(K14&gt;=0,J14,L15)</f>
        <v>0</v>
      </c>
      <c r="H15" s="392"/>
      <c r="I15" s="137"/>
      <c r="L15" s="160">
        <f ca="1">IF(J14&gt;0,J14-MIN(J14,ABS(K14)),J14)</f>
        <v>0</v>
      </c>
    </row>
    <row r="16" spans="1:15" x14ac:dyDescent="0.25"/>
    <row r="17" spans="1:15" x14ac:dyDescent="0.25">
      <c r="A17" s="402"/>
      <c r="B17" s="403"/>
      <c r="C17" s="403"/>
      <c r="D17" s="403"/>
      <c r="E17" s="403"/>
      <c r="F17" s="403"/>
      <c r="G17" s="403"/>
      <c r="H17" s="403"/>
    </row>
    <row r="18" spans="1:15" ht="18" customHeight="1" x14ac:dyDescent="0.25">
      <c r="A18" s="389" t="s">
        <v>347</v>
      </c>
      <c r="B18" s="389"/>
      <c r="C18" s="389"/>
      <c r="D18" s="389"/>
      <c r="E18" s="389"/>
      <c r="F18" s="389"/>
      <c r="G18" s="389"/>
      <c r="H18" s="389"/>
      <c r="N18" s="72" t="s">
        <v>224</v>
      </c>
      <c r="O18" s="128">
        <v>0.2</v>
      </c>
    </row>
    <row r="19" spans="1:15" x14ac:dyDescent="0.25">
      <c r="A19" s="393" t="s">
        <v>423</v>
      </c>
      <c r="B19" s="393"/>
      <c r="C19" s="394"/>
      <c r="D19" s="394"/>
      <c r="E19" s="394"/>
      <c r="F19" s="394"/>
      <c r="G19" s="394"/>
      <c r="H19" s="394"/>
      <c r="O19" s="128"/>
    </row>
    <row r="20" spans="1:15" x14ac:dyDescent="0.25">
      <c r="C20" s="84"/>
      <c r="D20" s="84"/>
      <c r="E20" s="84"/>
      <c r="F20" s="75"/>
      <c r="G20" s="75"/>
    </row>
    <row r="21" spans="1:15" ht="12.75" customHeight="1" x14ac:dyDescent="0.25">
      <c r="A21" s="398" t="s">
        <v>349</v>
      </c>
      <c r="B21" s="397" t="s">
        <v>261</v>
      </c>
      <c r="C21" s="396" t="s">
        <v>210</v>
      </c>
      <c r="D21" s="396"/>
      <c r="E21" s="396" t="s">
        <v>211</v>
      </c>
      <c r="F21" s="396"/>
      <c r="G21" s="397" t="s">
        <v>212</v>
      </c>
      <c r="H21" s="395" t="s">
        <v>215</v>
      </c>
      <c r="O21" s="75"/>
    </row>
    <row r="22" spans="1:15" x14ac:dyDescent="0.25">
      <c r="A22" s="398"/>
      <c r="B22" s="397"/>
      <c r="C22" s="221" t="s">
        <v>208</v>
      </c>
      <c r="D22" s="221" t="s">
        <v>209</v>
      </c>
      <c r="E22" s="221" t="s">
        <v>208</v>
      </c>
      <c r="F22" s="221" t="s">
        <v>209</v>
      </c>
      <c r="G22" s="397"/>
      <c r="H22" s="396"/>
      <c r="J22" s="130" t="s">
        <v>227</v>
      </c>
      <c r="K22" s="130" t="s">
        <v>228</v>
      </c>
      <c r="L22" s="130" t="s">
        <v>232</v>
      </c>
      <c r="O22" s="75"/>
    </row>
    <row r="23" spans="1:15" x14ac:dyDescent="0.25">
      <c r="A23" s="133"/>
      <c r="B23" s="162"/>
      <c r="C23" s="272"/>
      <c r="D23" s="136"/>
      <c r="E23" s="272"/>
      <c r="F23" s="136"/>
      <c r="G23" s="222">
        <f t="shared" ref="G23" ca="1" si="7">J23+K23</f>
        <v>0</v>
      </c>
      <c r="H23" s="223" t="str">
        <f>IF(OR(F23="",D23=""),"","ST")</f>
        <v/>
      </c>
      <c r="J23" s="131">
        <f ca="1">IF(H23="LT",B23*E23-C23*B23*INDIRECT("'Cost Inflation Index'!C"&amp;ROWS(CostInflationTable[#All]))/VLOOKUP(M23,CostInflationTable[[#All],[Yr begin]:[CII]],2,0),0)</f>
        <v>0</v>
      </c>
      <c r="K23" s="131">
        <f>IF(H23="ST",E23*B23-C23*B23,0)</f>
        <v>0</v>
      </c>
      <c r="L23" s="75">
        <f t="shared" ref="L23:L24" si="8">MAX($O$5,D23)</f>
        <v>45017</v>
      </c>
      <c r="M23" s="72" t="str">
        <f>TEXT(YEAR(D23)-IF(MONTH(D23)&lt;4,1,0),"0")</f>
        <v>1899</v>
      </c>
    </row>
    <row r="24" spans="1:15" x14ac:dyDescent="0.25">
      <c r="A24" s="133"/>
      <c r="B24" s="162"/>
      <c r="C24" s="272"/>
      <c r="D24" s="136"/>
      <c r="E24" s="272"/>
      <c r="F24" s="136"/>
      <c r="G24" s="222">
        <f t="shared" ref="G24:G87" ca="1" si="9">J24+K24</f>
        <v>0</v>
      </c>
      <c r="H24" s="223" t="str">
        <f t="shared" ref="H24:H87" si="10">IF(OR(F24="",D24=""),"","ST")</f>
        <v/>
      </c>
      <c r="J24" s="131">
        <f ca="1">IF(H24="LT",B24*E24-C24*B24*INDIRECT("'Cost Inflation Index'!C"&amp;ROWS(CostInflationTable[#All]))/VLOOKUP(M24,CostInflationTable[[#All],[Yr begin]:[CII]],2,0),0)</f>
        <v>0</v>
      </c>
      <c r="K24" s="131">
        <f t="shared" ref="K24" si="11">IF(H24="ST",E24*B24-C24*B24,0)</f>
        <v>0</v>
      </c>
      <c r="L24" s="75">
        <f t="shared" si="8"/>
        <v>45017</v>
      </c>
      <c r="M24" s="72" t="str">
        <f t="shared" ref="M24" si="12">TEXT(YEAR(D24)-IF(MONTH(D24)&lt;4,1,0),"0")</f>
        <v>1899</v>
      </c>
    </row>
    <row r="25" spans="1:15" x14ac:dyDescent="0.25">
      <c r="A25" s="133"/>
      <c r="B25" s="162"/>
      <c r="C25" s="272"/>
      <c r="D25" s="136"/>
      <c r="E25" s="272"/>
      <c r="F25" s="136"/>
      <c r="G25" s="222">
        <f t="shared" ca="1" si="9"/>
        <v>0</v>
      </c>
      <c r="H25" s="223" t="str">
        <f t="shared" si="10"/>
        <v/>
      </c>
      <c r="J25" s="131">
        <f ca="1">IF(H25="LT",B25*E25-C25*B25*INDIRECT("'Cost Inflation Index'!C"&amp;ROWS(CostInflationTable[#All]))/VLOOKUP(M25,CostInflationTable[[#All],[Yr begin]:[CII]],2,0),0)</f>
        <v>0</v>
      </c>
      <c r="K25" s="131">
        <f t="shared" ref="K25:K122" si="13">IF(H25="ST",E25*B25-C25*B25,0)</f>
        <v>0</v>
      </c>
      <c r="L25" s="75">
        <f t="shared" ref="L25:L122" si="14">MAX($O$5,D25)</f>
        <v>45017</v>
      </c>
      <c r="M25" s="72" t="str">
        <f t="shared" ref="M25:M122" si="15">TEXT(YEAR(D25)-IF(MONTH(D25)&lt;4,1,0),"0")</f>
        <v>1899</v>
      </c>
    </row>
    <row r="26" spans="1:15" x14ac:dyDescent="0.25">
      <c r="A26" s="133"/>
      <c r="B26" s="162"/>
      <c r="C26" s="272"/>
      <c r="D26" s="136"/>
      <c r="E26" s="272"/>
      <c r="F26" s="136"/>
      <c r="G26" s="222">
        <f t="shared" ca="1" si="9"/>
        <v>0</v>
      </c>
      <c r="H26" s="223" t="str">
        <f t="shared" si="10"/>
        <v/>
      </c>
      <c r="J26" s="131">
        <f ca="1">IF(H26="LT",B26*E26-C26*B26*INDIRECT("'Cost Inflation Index'!C"&amp;ROWS(CostInflationTable[#All]))/VLOOKUP(M26,CostInflationTable[[#All],[Yr begin]:[CII]],2,0),0)</f>
        <v>0</v>
      </c>
      <c r="K26" s="131">
        <f t="shared" si="13"/>
        <v>0</v>
      </c>
      <c r="L26" s="75">
        <f t="shared" si="14"/>
        <v>45017</v>
      </c>
      <c r="M26" s="72" t="str">
        <f t="shared" si="15"/>
        <v>1899</v>
      </c>
    </row>
    <row r="27" spans="1:15" x14ac:dyDescent="0.25">
      <c r="A27" s="133"/>
      <c r="B27" s="162"/>
      <c r="C27" s="272"/>
      <c r="D27" s="136"/>
      <c r="E27" s="272"/>
      <c r="F27" s="136"/>
      <c r="G27" s="222">
        <f t="shared" ca="1" si="9"/>
        <v>0</v>
      </c>
      <c r="H27" s="223" t="str">
        <f t="shared" si="10"/>
        <v/>
      </c>
      <c r="J27" s="131">
        <f ca="1">IF(H27="LT",B27*E27-C27*B27*INDIRECT("'Cost Inflation Index'!C"&amp;ROWS(CostInflationTable[#All]))/VLOOKUP(M27,CostInflationTable[[#All],[Yr begin]:[CII]],2,0),0)</f>
        <v>0</v>
      </c>
      <c r="K27" s="131">
        <f t="shared" ref="K27:K90" si="16">IF(H27="ST",E27*B27-C27*B27,0)</f>
        <v>0</v>
      </c>
      <c r="L27" s="75">
        <f t="shared" ref="L27:L90" si="17">MAX($O$5,D27)</f>
        <v>45017</v>
      </c>
      <c r="M27" s="72" t="str">
        <f t="shared" ref="M27:M90" si="18">TEXT(YEAR(D27)-IF(MONTH(D27)&lt;4,1,0),"0")</f>
        <v>1899</v>
      </c>
    </row>
    <row r="28" spans="1:15" x14ac:dyDescent="0.25">
      <c r="A28" s="133"/>
      <c r="B28" s="162"/>
      <c r="C28" s="272"/>
      <c r="D28" s="136"/>
      <c r="E28" s="272"/>
      <c r="F28" s="136"/>
      <c r="G28" s="222">
        <f t="shared" ca="1" si="9"/>
        <v>0</v>
      </c>
      <c r="H28" s="223" t="str">
        <f t="shared" si="10"/>
        <v/>
      </c>
      <c r="J28" s="131">
        <f ca="1">IF(H28="LT",B28*E28-C28*B28*INDIRECT("'Cost Inflation Index'!C"&amp;ROWS(CostInflationTable[#All]))/VLOOKUP(M28,CostInflationTable[[#All],[Yr begin]:[CII]],2,0),0)</f>
        <v>0</v>
      </c>
      <c r="K28" s="131">
        <f t="shared" si="16"/>
        <v>0</v>
      </c>
      <c r="L28" s="75">
        <f t="shared" si="17"/>
        <v>45017</v>
      </c>
      <c r="M28" s="72" t="str">
        <f t="shared" si="18"/>
        <v>1899</v>
      </c>
    </row>
    <row r="29" spans="1:15" x14ac:dyDescent="0.25">
      <c r="A29" s="133"/>
      <c r="B29" s="162"/>
      <c r="C29" s="272"/>
      <c r="D29" s="136"/>
      <c r="E29" s="272"/>
      <c r="F29" s="136"/>
      <c r="G29" s="222">
        <f t="shared" ca="1" si="9"/>
        <v>0</v>
      </c>
      <c r="H29" s="223" t="str">
        <f t="shared" si="10"/>
        <v/>
      </c>
      <c r="J29" s="131">
        <f ca="1">IF(H29="LT",B29*E29-C29*B29*INDIRECT("'Cost Inflation Index'!C"&amp;ROWS(CostInflationTable[#All]))/VLOOKUP(M29,CostInflationTable[[#All],[Yr begin]:[CII]],2,0),0)</f>
        <v>0</v>
      </c>
      <c r="K29" s="131">
        <f t="shared" si="16"/>
        <v>0</v>
      </c>
      <c r="L29" s="75">
        <f t="shared" si="17"/>
        <v>45017</v>
      </c>
      <c r="M29" s="72" t="str">
        <f t="shared" si="18"/>
        <v>1899</v>
      </c>
    </row>
    <row r="30" spans="1:15" x14ac:dyDescent="0.25">
      <c r="A30" s="133"/>
      <c r="B30" s="162"/>
      <c r="C30" s="272"/>
      <c r="D30" s="136"/>
      <c r="E30" s="272"/>
      <c r="F30" s="136"/>
      <c r="G30" s="222">
        <f t="shared" ca="1" si="9"/>
        <v>0</v>
      </c>
      <c r="H30" s="223" t="str">
        <f t="shared" si="10"/>
        <v/>
      </c>
      <c r="J30" s="131">
        <f ca="1">IF(H30="LT",B30*E30-C30*B30*INDIRECT("'Cost Inflation Index'!C"&amp;ROWS(CostInflationTable[#All]))/VLOOKUP(M30,CostInflationTable[[#All],[Yr begin]:[CII]],2,0),0)</f>
        <v>0</v>
      </c>
      <c r="K30" s="131">
        <f t="shared" si="16"/>
        <v>0</v>
      </c>
      <c r="L30" s="75">
        <f t="shared" si="17"/>
        <v>45017</v>
      </c>
      <c r="M30" s="72" t="str">
        <f t="shared" si="18"/>
        <v>1899</v>
      </c>
    </row>
    <row r="31" spans="1:15" x14ac:dyDescent="0.25">
      <c r="A31" s="133"/>
      <c r="B31" s="162"/>
      <c r="C31" s="272"/>
      <c r="D31" s="136"/>
      <c r="E31" s="272"/>
      <c r="F31" s="136"/>
      <c r="G31" s="222">
        <f t="shared" ca="1" si="9"/>
        <v>0</v>
      </c>
      <c r="H31" s="223" t="str">
        <f t="shared" si="10"/>
        <v/>
      </c>
      <c r="J31" s="131">
        <f ca="1">IF(H31="LT",B31*E31-C31*B31*INDIRECT("'Cost Inflation Index'!C"&amp;ROWS(CostInflationTable[#All]))/VLOOKUP(M31,CostInflationTable[[#All],[Yr begin]:[CII]],2,0),0)</f>
        <v>0</v>
      </c>
      <c r="K31" s="131">
        <f t="shared" si="16"/>
        <v>0</v>
      </c>
      <c r="L31" s="75">
        <f t="shared" si="17"/>
        <v>45017</v>
      </c>
      <c r="M31" s="72" t="str">
        <f t="shared" si="18"/>
        <v>1899</v>
      </c>
    </row>
    <row r="32" spans="1:15" x14ac:dyDescent="0.25">
      <c r="A32" s="133"/>
      <c r="B32" s="162"/>
      <c r="C32" s="272"/>
      <c r="D32" s="136"/>
      <c r="E32" s="272"/>
      <c r="F32" s="136"/>
      <c r="G32" s="222">
        <f t="shared" ca="1" si="9"/>
        <v>0</v>
      </c>
      <c r="H32" s="223" t="str">
        <f t="shared" si="10"/>
        <v/>
      </c>
      <c r="J32" s="131">
        <f ca="1">IF(H32="LT",B32*E32-C32*B32*INDIRECT("'Cost Inflation Index'!C"&amp;ROWS(CostInflationTable[#All]))/VLOOKUP(M32,CostInflationTable[[#All],[Yr begin]:[CII]],2,0),0)</f>
        <v>0</v>
      </c>
      <c r="K32" s="131">
        <f t="shared" si="16"/>
        <v>0</v>
      </c>
      <c r="L32" s="75">
        <f t="shared" si="17"/>
        <v>45017</v>
      </c>
      <c r="M32" s="72" t="str">
        <f t="shared" si="18"/>
        <v>1899</v>
      </c>
    </row>
    <row r="33" spans="1:13" x14ac:dyDescent="0.25">
      <c r="A33" s="133"/>
      <c r="B33" s="162"/>
      <c r="C33" s="272"/>
      <c r="D33" s="136"/>
      <c r="E33" s="272"/>
      <c r="F33" s="136"/>
      <c r="G33" s="222">
        <f t="shared" ca="1" si="9"/>
        <v>0</v>
      </c>
      <c r="H33" s="223" t="str">
        <f t="shared" si="10"/>
        <v/>
      </c>
      <c r="J33" s="131">
        <f ca="1">IF(H33="LT",B33*E33-C33*B33*INDIRECT("'Cost Inflation Index'!C"&amp;ROWS(CostInflationTable[#All]))/VLOOKUP(M33,CostInflationTable[[#All],[Yr begin]:[CII]],2,0),0)</f>
        <v>0</v>
      </c>
      <c r="K33" s="131">
        <f t="shared" si="16"/>
        <v>0</v>
      </c>
      <c r="L33" s="75">
        <f t="shared" si="17"/>
        <v>45017</v>
      </c>
      <c r="M33" s="72" t="str">
        <f t="shared" si="18"/>
        <v>1899</v>
      </c>
    </row>
    <row r="34" spans="1:13" x14ac:dyDescent="0.25">
      <c r="A34" s="133"/>
      <c r="B34" s="162"/>
      <c r="C34" s="272"/>
      <c r="D34" s="136"/>
      <c r="E34" s="272"/>
      <c r="F34" s="136"/>
      <c r="G34" s="222">
        <f t="shared" ca="1" si="9"/>
        <v>0</v>
      </c>
      <c r="H34" s="223" t="str">
        <f t="shared" si="10"/>
        <v/>
      </c>
      <c r="J34" s="131">
        <f ca="1">IF(H34="LT",B34*E34-C34*B34*INDIRECT("'Cost Inflation Index'!C"&amp;ROWS(CostInflationTable[#All]))/VLOOKUP(M34,CostInflationTable[[#All],[Yr begin]:[CII]],2,0),0)</f>
        <v>0</v>
      </c>
      <c r="K34" s="131">
        <f t="shared" si="16"/>
        <v>0</v>
      </c>
      <c r="L34" s="75">
        <f t="shared" si="17"/>
        <v>45017</v>
      </c>
      <c r="M34" s="72" t="str">
        <f t="shared" si="18"/>
        <v>1899</v>
      </c>
    </row>
    <row r="35" spans="1:13" x14ac:dyDescent="0.25">
      <c r="A35" s="133"/>
      <c r="B35" s="162"/>
      <c r="C35" s="272"/>
      <c r="D35" s="136"/>
      <c r="E35" s="272"/>
      <c r="F35" s="136"/>
      <c r="G35" s="222">
        <f t="shared" ca="1" si="9"/>
        <v>0</v>
      </c>
      <c r="H35" s="223" t="str">
        <f t="shared" si="10"/>
        <v/>
      </c>
      <c r="J35" s="131">
        <f ca="1">IF(H35="LT",B35*E35-C35*B35*INDIRECT("'Cost Inflation Index'!C"&amp;ROWS(CostInflationTable[#All]))/VLOOKUP(M35,CostInflationTable[[#All],[Yr begin]:[CII]],2,0),0)</f>
        <v>0</v>
      </c>
      <c r="K35" s="131">
        <f t="shared" si="16"/>
        <v>0</v>
      </c>
      <c r="L35" s="75">
        <f t="shared" si="17"/>
        <v>45017</v>
      </c>
      <c r="M35" s="72" t="str">
        <f t="shared" si="18"/>
        <v>1899</v>
      </c>
    </row>
    <row r="36" spans="1:13" x14ac:dyDescent="0.25">
      <c r="A36" s="133"/>
      <c r="B36" s="162"/>
      <c r="C36" s="272"/>
      <c r="D36" s="136"/>
      <c r="E36" s="272"/>
      <c r="F36" s="136"/>
      <c r="G36" s="222">
        <f t="shared" ca="1" si="9"/>
        <v>0</v>
      </c>
      <c r="H36" s="223" t="str">
        <f t="shared" si="10"/>
        <v/>
      </c>
      <c r="J36" s="131">
        <f ca="1">IF(H36="LT",B36*E36-C36*B36*INDIRECT("'Cost Inflation Index'!C"&amp;ROWS(CostInflationTable[#All]))/VLOOKUP(M36,CostInflationTable[[#All],[Yr begin]:[CII]],2,0),0)</f>
        <v>0</v>
      </c>
      <c r="K36" s="131">
        <f t="shared" si="16"/>
        <v>0</v>
      </c>
      <c r="L36" s="75">
        <f t="shared" si="17"/>
        <v>45017</v>
      </c>
      <c r="M36" s="72" t="str">
        <f t="shared" si="18"/>
        <v>1899</v>
      </c>
    </row>
    <row r="37" spans="1:13" x14ac:dyDescent="0.25">
      <c r="A37" s="133"/>
      <c r="B37" s="162"/>
      <c r="C37" s="272"/>
      <c r="D37" s="136"/>
      <c r="E37" s="272"/>
      <c r="F37" s="136"/>
      <c r="G37" s="222">
        <f t="shared" ca="1" si="9"/>
        <v>0</v>
      </c>
      <c r="H37" s="223" t="str">
        <f t="shared" si="10"/>
        <v/>
      </c>
      <c r="J37" s="131">
        <f ca="1">IF(H37="LT",B37*E37-C37*B37*INDIRECT("'Cost Inflation Index'!C"&amp;ROWS(CostInflationTable[#All]))/VLOOKUP(M37,CostInflationTable[[#All],[Yr begin]:[CII]],2,0),0)</f>
        <v>0</v>
      </c>
      <c r="K37" s="131">
        <f t="shared" si="16"/>
        <v>0</v>
      </c>
      <c r="L37" s="75">
        <f t="shared" si="17"/>
        <v>45017</v>
      </c>
      <c r="M37" s="72" t="str">
        <f t="shared" si="18"/>
        <v>1899</v>
      </c>
    </row>
    <row r="38" spans="1:13" x14ac:dyDescent="0.25">
      <c r="A38" s="133"/>
      <c r="B38" s="162"/>
      <c r="C38" s="272"/>
      <c r="D38" s="136"/>
      <c r="E38" s="272"/>
      <c r="F38" s="136"/>
      <c r="G38" s="222">
        <f t="shared" ca="1" si="9"/>
        <v>0</v>
      </c>
      <c r="H38" s="223" t="str">
        <f t="shared" si="10"/>
        <v/>
      </c>
      <c r="J38" s="131">
        <f ca="1">IF(H38="LT",B38*E38-C38*B38*INDIRECT("'Cost Inflation Index'!C"&amp;ROWS(CostInflationTable[#All]))/VLOOKUP(M38,CostInflationTable[[#All],[Yr begin]:[CII]],2,0),0)</f>
        <v>0</v>
      </c>
      <c r="K38" s="131">
        <f t="shared" si="16"/>
        <v>0</v>
      </c>
      <c r="L38" s="75">
        <f t="shared" si="17"/>
        <v>45017</v>
      </c>
      <c r="M38" s="72" t="str">
        <f t="shared" si="18"/>
        <v>1899</v>
      </c>
    </row>
    <row r="39" spans="1:13" x14ac:dyDescent="0.25">
      <c r="A39" s="133"/>
      <c r="B39" s="162"/>
      <c r="C39" s="272"/>
      <c r="D39" s="136"/>
      <c r="E39" s="272"/>
      <c r="F39" s="136"/>
      <c r="G39" s="222">
        <f t="shared" ca="1" si="9"/>
        <v>0</v>
      </c>
      <c r="H39" s="223" t="str">
        <f t="shared" si="10"/>
        <v/>
      </c>
      <c r="J39" s="131">
        <f ca="1">IF(H39="LT",B39*E39-C39*B39*INDIRECT("'Cost Inflation Index'!C"&amp;ROWS(CostInflationTable[#All]))/VLOOKUP(M39,CostInflationTable[[#All],[Yr begin]:[CII]],2,0),0)</f>
        <v>0</v>
      </c>
      <c r="K39" s="131">
        <f t="shared" si="16"/>
        <v>0</v>
      </c>
      <c r="L39" s="75">
        <f t="shared" si="17"/>
        <v>45017</v>
      </c>
      <c r="M39" s="72" t="str">
        <f t="shared" si="18"/>
        <v>1899</v>
      </c>
    </row>
    <row r="40" spans="1:13" x14ac:dyDescent="0.25">
      <c r="A40" s="133"/>
      <c r="B40" s="162"/>
      <c r="C40" s="272"/>
      <c r="D40" s="136"/>
      <c r="E40" s="272"/>
      <c r="F40" s="136"/>
      <c r="G40" s="222">
        <f t="shared" ca="1" si="9"/>
        <v>0</v>
      </c>
      <c r="H40" s="223" t="str">
        <f t="shared" si="10"/>
        <v/>
      </c>
      <c r="J40" s="131">
        <f ca="1">IF(H40="LT",B40*E40-C40*B40*INDIRECT("'Cost Inflation Index'!C"&amp;ROWS(CostInflationTable[#All]))/VLOOKUP(M40,CostInflationTable[[#All],[Yr begin]:[CII]],2,0),0)</f>
        <v>0</v>
      </c>
      <c r="K40" s="131">
        <f t="shared" si="16"/>
        <v>0</v>
      </c>
      <c r="L40" s="75">
        <f t="shared" si="17"/>
        <v>45017</v>
      </c>
      <c r="M40" s="72" t="str">
        <f t="shared" si="18"/>
        <v>1899</v>
      </c>
    </row>
    <row r="41" spans="1:13" x14ac:dyDescent="0.25">
      <c r="A41" s="133"/>
      <c r="B41" s="162"/>
      <c r="C41" s="272"/>
      <c r="D41" s="136"/>
      <c r="E41" s="272"/>
      <c r="F41" s="136"/>
      <c r="G41" s="222">
        <f t="shared" ca="1" si="9"/>
        <v>0</v>
      </c>
      <c r="H41" s="223" t="str">
        <f t="shared" si="10"/>
        <v/>
      </c>
      <c r="J41" s="131">
        <f ca="1">IF(H41="LT",B41*E41-C41*B41*INDIRECT("'Cost Inflation Index'!C"&amp;ROWS(CostInflationTable[#All]))/VLOOKUP(M41,CostInflationTable[[#All],[Yr begin]:[CII]],2,0),0)</f>
        <v>0</v>
      </c>
      <c r="K41" s="131">
        <f t="shared" si="16"/>
        <v>0</v>
      </c>
      <c r="L41" s="75">
        <f t="shared" si="17"/>
        <v>45017</v>
      </c>
      <c r="M41" s="72" t="str">
        <f t="shared" si="18"/>
        <v>1899</v>
      </c>
    </row>
    <row r="42" spans="1:13" x14ac:dyDescent="0.25">
      <c r="A42" s="133"/>
      <c r="B42" s="162"/>
      <c r="C42" s="272"/>
      <c r="D42" s="136"/>
      <c r="E42" s="272"/>
      <c r="F42" s="136"/>
      <c r="G42" s="222">
        <f t="shared" ca="1" si="9"/>
        <v>0</v>
      </c>
      <c r="H42" s="223" t="str">
        <f t="shared" si="10"/>
        <v/>
      </c>
      <c r="J42" s="131">
        <f ca="1">IF(H42="LT",B42*E42-C42*B42*INDIRECT("'Cost Inflation Index'!C"&amp;ROWS(CostInflationTable[#All]))/VLOOKUP(M42,CostInflationTable[[#All],[Yr begin]:[CII]],2,0),0)</f>
        <v>0</v>
      </c>
      <c r="K42" s="131">
        <f t="shared" si="16"/>
        <v>0</v>
      </c>
      <c r="L42" s="75">
        <f t="shared" si="17"/>
        <v>45017</v>
      </c>
      <c r="M42" s="72" t="str">
        <f t="shared" si="18"/>
        <v>1899</v>
      </c>
    </row>
    <row r="43" spans="1:13" x14ac:dyDescent="0.25">
      <c r="A43" s="133"/>
      <c r="B43" s="162"/>
      <c r="C43" s="272"/>
      <c r="D43" s="136"/>
      <c r="E43" s="272"/>
      <c r="F43" s="136"/>
      <c r="G43" s="222">
        <f t="shared" ca="1" si="9"/>
        <v>0</v>
      </c>
      <c r="H43" s="223" t="str">
        <f t="shared" si="10"/>
        <v/>
      </c>
      <c r="J43" s="131">
        <f ca="1">IF(H43="LT",B43*E43-C43*B43*INDIRECT("'Cost Inflation Index'!C"&amp;ROWS(CostInflationTable[#All]))/VLOOKUP(M43,CostInflationTable[[#All],[Yr begin]:[CII]],2,0),0)</f>
        <v>0</v>
      </c>
      <c r="K43" s="131">
        <f t="shared" si="16"/>
        <v>0</v>
      </c>
      <c r="L43" s="75">
        <f t="shared" si="17"/>
        <v>45017</v>
      </c>
      <c r="M43" s="72" t="str">
        <f t="shared" si="18"/>
        <v>1899</v>
      </c>
    </row>
    <row r="44" spans="1:13" x14ac:dyDescent="0.25">
      <c r="A44" s="133"/>
      <c r="B44" s="162"/>
      <c r="C44" s="272"/>
      <c r="D44" s="136"/>
      <c r="E44" s="272"/>
      <c r="F44" s="136"/>
      <c r="G44" s="222">
        <f t="shared" ca="1" si="9"/>
        <v>0</v>
      </c>
      <c r="H44" s="223" t="str">
        <f t="shared" si="10"/>
        <v/>
      </c>
      <c r="J44" s="131">
        <f ca="1">IF(H44="LT",B44*E44-C44*B44*INDIRECT("'Cost Inflation Index'!C"&amp;ROWS(CostInflationTable[#All]))/VLOOKUP(M44,CostInflationTable[[#All],[Yr begin]:[CII]],2,0),0)</f>
        <v>0</v>
      </c>
      <c r="K44" s="131">
        <f t="shared" si="16"/>
        <v>0</v>
      </c>
      <c r="L44" s="75">
        <f t="shared" si="17"/>
        <v>45017</v>
      </c>
      <c r="M44" s="72" t="str">
        <f t="shared" si="18"/>
        <v>1899</v>
      </c>
    </row>
    <row r="45" spans="1:13" x14ac:dyDescent="0.25">
      <c r="A45" s="133"/>
      <c r="B45" s="162"/>
      <c r="C45" s="272"/>
      <c r="D45" s="136"/>
      <c r="E45" s="272"/>
      <c r="F45" s="136"/>
      <c r="G45" s="222">
        <f t="shared" ca="1" si="9"/>
        <v>0</v>
      </c>
      <c r="H45" s="223" t="str">
        <f t="shared" si="10"/>
        <v/>
      </c>
      <c r="J45" s="131">
        <f ca="1">IF(H45="LT",B45*E45-C45*B45*INDIRECT("'Cost Inflation Index'!C"&amp;ROWS(CostInflationTable[#All]))/VLOOKUP(M45,CostInflationTable[[#All],[Yr begin]:[CII]],2,0),0)</f>
        <v>0</v>
      </c>
      <c r="K45" s="131">
        <f t="shared" si="16"/>
        <v>0</v>
      </c>
      <c r="L45" s="75">
        <f t="shared" si="17"/>
        <v>45017</v>
      </c>
      <c r="M45" s="72" t="str">
        <f t="shared" si="18"/>
        <v>1899</v>
      </c>
    </row>
    <row r="46" spans="1:13" x14ac:dyDescent="0.25">
      <c r="A46" s="133"/>
      <c r="B46" s="162"/>
      <c r="C46" s="272"/>
      <c r="D46" s="136"/>
      <c r="E46" s="272"/>
      <c r="F46" s="136"/>
      <c r="G46" s="222">
        <f t="shared" ca="1" si="9"/>
        <v>0</v>
      </c>
      <c r="H46" s="223" t="str">
        <f t="shared" si="10"/>
        <v/>
      </c>
      <c r="J46" s="131">
        <f ca="1">IF(H46="LT",B46*E46-C46*B46*INDIRECT("'Cost Inflation Index'!C"&amp;ROWS(CostInflationTable[#All]))/VLOOKUP(M46,CostInflationTable[[#All],[Yr begin]:[CII]],2,0),0)</f>
        <v>0</v>
      </c>
      <c r="K46" s="131">
        <f t="shared" si="16"/>
        <v>0</v>
      </c>
      <c r="L46" s="75">
        <f t="shared" si="17"/>
        <v>45017</v>
      </c>
      <c r="M46" s="72" t="str">
        <f t="shared" si="18"/>
        <v>1899</v>
      </c>
    </row>
    <row r="47" spans="1:13" x14ac:dyDescent="0.25">
      <c r="A47" s="133"/>
      <c r="B47" s="162"/>
      <c r="C47" s="272"/>
      <c r="D47" s="136"/>
      <c r="E47" s="272"/>
      <c r="F47" s="136"/>
      <c r="G47" s="222">
        <f t="shared" ca="1" si="9"/>
        <v>0</v>
      </c>
      <c r="H47" s="223" t="str">
        <f t="shared" si="10"/>
        <v/>
      </c>
      <c r="J47" s="131">
        <f ca="1">IF(H47="LT",B47*E47-C47*B47*INDIRECT("'Cost Inflation Index'!C"&amp;ROWS(CostInflationTable[#All]))/VLOOKUP(M47,CostInflationTable[[#All],[Yr begin]:[CII]],2,0),0)</f>
        <v>0</v>
      </c>
      <c r="K47" s="131">
        <f t="shared" si="16"/>
        <v>0</v>
      </c>
      <c r="L47" s="75">
        <f t="shared" si="17"/>
        <v>45017</v>
      </c>
      <c r="M47" s="72" t="str">
        <f t="shared" si="18"/>
        <v>1899</v>
      </c>
    </row>
    <row r="48" spans="1:13" x14ac:dyDescent="0.25">
      <c r="A48" s="133"/>
      <c r="B48" s="162"/>
      <c r="C48" s="272"/>
      <c r="D48" s="136"/>
      <c r="E48" s="272"/>
      <c r="F48" s="136"/>
      <c r="G48" s="222">
        <f t="shared" ca="1" si="9"/>
        <v>0</v>
      </c>
      <c r="H48" s="223" t="str">
        <f t="shared" si="10"/>
        <v/>
      </c>
      <c r="J48" s="131">
        <f ca="1">IF(H48="LT",B48*E48-C48*B48*INDIRECT("'Cost Inflation Index'!C"&amp;ROWS(CostInflationTable[#All]))/VLOOKUP(M48,CostInflationTable[[#All],[Yr begin]:[CII]],2,0),0)</f>
        <v>0</v>
      </c>
      <c r="K48" s="131">
        <f t="shared" si="16"/>
        <v>0</v>
      </c>
      <c r="L48" s="75">
        <f t="shared" si="17"/>
        <v>45017</v>
      </c>
      <c r="M48" s="72" t="str">
        <f t="shared" si="18"/>
        <v>1899</v>
      </c>
    </row>
    <row r="49" spans="1:13" x14ac:dyDescent="0.25">
      <c r="A49" s="133"/>
      <c r="B49" s="162"/>
      <c r="C49" s="272"/>
      <c r="D49" s="136"/>
      <c r="E49" s="272"/>
      <c r="F49" s="136"/>
      <c r="G49" s="222">
        <f t="shared" ca="1" si="9"/>
        <v>0</v>
      </c>
      <c r="H49" s="223" t="str">
        <f t="shared" si="10"/>
        <v/>
      </c>
      <c r="J49" s="131">
        <f ca="1">IF(H49="LT",B49*E49-C49*B49*INDIRECT("'Cost Inflation Index'!C"&amp;ROWS(CostInflationTable[#All]))/VLOOKUP(M49,CostInflationTable[[#All],[Yr begin]:[CII]],2,0),0)</f>
        <v>0</v>
      </c>
      <c r="K49" s="131">
        <f t="shared" si="16"/>
        <v>0</v>
      </c>
      <c r="L49" s="75">
        <f t="shared" si="17"/>
        <v>45017</v>
      </c>
      <c r="M49" s="72" t="str">
        <f t="shared" si="18"/>
        <v>1899</v>
      </c>
    </row>
    <row r="50" spans="1:13" x14ac:dyDescent="0.25">
      <c r="A50" s="133"/>
      <c r="B50" s="162"/>
      <c r="C50" s="272"/>
      <c r="D50" s="136"/>
      <c r="E50" s="272"/>
      <c r="F50" s="136"/>
      <c r="G50" s="222">
        <f t="shared" ca="1" si="9"/>
        <v>0</v>
      </c>
      <c r="H50" s="223" t="str">
        <f t="shared" si="10"/>
        <v/>
      </c>
      <c r="J50" s="131">
        <f ca="1">IF(H50="LT",B50*E50-C50*B50*INDIRECT("'Cost Inflation Index'!C"&amp;ROWS(CostInflationTable[#All]))/VLOOKUP(M50,CostInflationTable[[#All],[Yr begin]:[CII]],2,0),0)</f>
        <v>0</v>
      </c>
      <c r="K50" s="131">
        <f t="shared" si="16"/>
        <v>0</v>
      </c>
      <c r="L50" s="75">
        <f t="shared" si="17"/>
        <v>45017</v>
      </c>
      <c r="M50" s="72" t="str">
        <f t="shared" si="18"/>
        <v>1899</v>
      </c>
    </row>
    <row r="51" spans="1:13" x14ac:dyDescent="0.25">
      <c r="A51" s="133"/>
      <c r="B51" s="162"/>
      <c r="C51" s="272"/>
      <c r="D51" s="136"/>
      <c r="E51" s="272"/>
      <c r="F51" s="136"/>
      <c r="G51" s="222">
        <f t="shared" ca="1" si="9"/>
        <v>0</v>
      </c>
      <c r="H51" s="223" t="str">
        <f t="shared" si="10"/>
        <v/>
      </c>
      <c r="J51" s="131">
        <f ca="1">IF(H51="LT",B51*E51-C51*B51*INDIRECT("'Cost Inflation Index'!C"&amp;ROWS(CostInflationTable[#All]))/VLOOKUP(M51,CostInflationTable[[#All],[Yr begin]:[CII]],2,0),0)</f>
        <v>0</v>
      </c>
      <c r="K51" s="131">
        <f t="shared" si="16"/>
        <v>0</v>
      </c>
      <c r="L51" s="75">
        <f t="shared" si="17"/>
        <v>45017</v>
      </c>
      <c r="M51" s="72" t="str">
        <f t="shared" si="18"/>
        <v>1899</v>
      </c>
    </row>
    <row r="52" spans="1:13" x14ac:dyDescent="0.25">
      <c r="A52" s="133"/>
      <c r="B52" s="162"/>
      <c r="C52" s="272"/>
      <c r="D52" s="136"/>
      <c r="E52" s="272"/>
      <c r="F52" s="136"/>
      <c r="G52" s="222">
        <f t="shared" ca="1" si="9"/>
        <v>0</v>
      </c>
      <c r="H52" s="223" t="str">
        <f t="shared" si="10"/>
        <v/>
      </c>
      <c r="J52" s="131">
        <f ca="1">IF(H52="LT",B52*E52-C52*B52*INDIRECT("'Cost Inflation Index'!C"&amp;ROWS(CostInflationTable[#All]))/VLOOKUP(M52,CostInflationTable[[#All],[Yr begin]:[CII]],2,0),0)</f>
        <v>0</v>
      </c>
      <c r="K52" s="131">
        <f t="shared" si="16"/>
        <v>0</v>
      </c>
      <c r="L52" s="75">
        <f t="shared" si="17"/>
        <v>45017</v>
      </c>
      <c r="M52" s="72" t="str">
        <f t="shared" si="18"/>
        <v>1899</v>
      </c>
    </row>
    <row r="53" spans="1:13" x14ac:dyDescent="0.25">
      <c r="A53" s="133"/>
      <c r="B53" s="162"/>
      <c r="C53" s="272"/>
      <c r="D53" s="136"/>
      <c r="E53" s="272"/>
      <c r="F53" s="136"/>
      <c r="G53" s="222">
        <f t="shared" ca="1" si="9"/>
        <v>0</v>
      </c>
      <c r="H53" s="223" t="str">
        <f t="shared" si="10"/>
        <v/>
      </c>
      <c r="J53" s="131">
        <f ca="1">IF(H53="LT",B53*E53-C53*B53*INDIRECT("'Cost Inflation Index'!C"&amp;ROWS(CostInflationTable[#All]))/VLOOKUP(M53,CostInflationTable[[#All],[Yr begin]:[CII]],2,0),0)</f>
        <v>0</v>
      </c>
      <c r="K53" s="131">
        <f t="shared" si="16"/>
        <v>0</v>
      </c>
      <c r="L53" s="75">
        <f t="shared" si="17"/>
        <v>45017</v>
      </c>
      <c r="M53" s="72" t="str">
        <f t="shared" si="18"/>
        <v>1899</v>
      </c>
    </row>
    <row r="54" spans="1:13" x14ac:dyDescent="0.25">
      <c r="A54" s="133"/>
      <c r="B54" s="162"/>
      <c r="C54" s="272"/>
      <c r="D54" s="136"/>
      <c r="E54" s="272"/>
      <c r="F54" s="136"/>
      <c r="G54" s="222">
        <f t="shared" ca="1" si="9"/>
        <v>0</v>
      </c>
      <c r="H54" s="223" t="str">
        <f t="shared" si="10"/>
        <v/>
      </c>
      <c r="J54" s="131">
        <f ca="1">IF(H54="LT",B54*E54-C54*B54*INDIRECT("'Cost Inflation Index'!C"&amp;ROWS(CostInflationTable[#All]))/VLOOKUP(M54,CostInflationTable[[#All],[Yr begin]:[CII]],2,0),0)</f>
        <v>0</v>
      </c>
      <c r="K54" s="131">
        <f t="shared" si="16"/>
        <v>0</v>
      </c>
      <c r="L54" s="75">
        <f t="shared" si="17"/>
        <v>45017</v>
      </c>
      <c r="M54" s="72" t="str">
        <f t="shared" si="18"/>
        <v>1899</v>
      </c>
    </row>
    <row r="55" spans="1:13" x14ac:dyDescent="0.25">
      <c r="A55" s="133"/>
      <c r="B55" s="162"/>
      <c r="C55" s="272"/>
      <c r="D55" s="136"/>
      <c r="E55" s="272"/>
      <c r="F55" s="136"/>
      <c r="G55" s="222">
        <f t="shared" ca="1" si="9"/>
        <v>0</v>
      </c>
      <c r="H55" s="223" t="str">
        <f t="shared" si="10"/>
        <v/>
      </c>
      <c r="J55" s="131">
        <f ca="1">IF(H55="LT",B55*E55-C55*B55*INDIRECT("'Cost Inflation Index'!C"&amp;ROWS(CostInflationTable[#All]))/VLOOKUP(M55,CostInflationTable[[#All],[Yr begin]:[CII]],2,0),0)</f>
        <v>0</v>
      </c>
      <c r="K55" s="131">
        <f t="shared" si="16"/>
        <v>0</v>
      </c>
      <c r="L55" s="75">
        <f t="shared" si="17"/>
        <v>45017</v>
      </c>
      <c r="M55" s="72" t="str">
        <f t="shared" si="18"/>
        <v>1899</v>
      </c>
    </row>
    <row r="56" spans="1:13" x14ac:dyDescent="0.25">
      <c r="A56" s="133"/>
      <c r="B56" s="162"/>
      <c r="C56" s="272"/>
      <c r="D56" s="136"/>
      <c r="E56" s="272"/>
      <c r="F56" s="136"/>
      <c r="G56" s="222">
        <f t="shared" ca="1" si="9"/>
        <v>0</v>
      </c>
      <c r="H56" s="223" t="str">
        <f t="shared" si="10"/>
        <v/>
      </c>
      <c r="J56" s="131">
        <f ca="1">IF(H56="LT",B56*E56-C56*B56*INDIRECT("'Cost Inflation Index'!C"&amp;ROWS(CostInflationTable[#All]))/VLOOKUP(M56,CostInflationTable[[#All],[Yr begin]:[CII]],2,0),0)</f>
        <v>0</v>
      </c>
      <c r="K56" s="131">
        <f t="shared" si="16"/>
        <v>0</v>
      </c>
      <c r="L56" s="75">
        <f t="shared" si="17"/>
        <v>45017</v>
      </c>
      <c r="M56" s="72" t="str">
        <f t="shared" si="18"/>
        <v>1899</v>
      </c>
    </row>
    <row r="57" spans="1:13" x14ac:dyDescent="0.25">
      <c r="A57" s="133"/>
      <c r="B57" s="162"/>
      <c r="C57" s="272"/>
      <c r="D57" s="136"/>
      <c r="E57" s="272"/>
      <c r="F57" s="136"/>
      <c r="G57" s="222">
        <f t="shared" ca="1" si="9"/>
        <v>0</v>
      </c>
      <c r="H57" s="223" t="str">
        <f t="shared" si="10"/>
        <v/>
      </c>
      <c r="J57" s="131">
        <f ca="1">IF(H57="LT",B57*E57-C57*B57*INDIRECT("'Cost Inflation Index'!C"&amp;ROWS(CostInflationTable[#All]))/VLOOKUP(M57,CostInflationTable[[#All],[Yr begin]:[CII]],2,0),0)</f>
        <v>0</v>
      </c>
      <c r="K57" s="131">
        <f t="shared" si="16"/>
        <v>0</v>
      </c>
      <c r="L57" s="75">
        <f t="shared" si="17"/>
        <v>45017</v>
      </c>
      <c r="M57" s="72" t="str">
        <f t="shared" si="18"/>
        <v>1899</v>
      </c>
    </row>
    <row r="58" spans="1:13" x14ac:dyDescent="0.25">
      <c r="A58" s="133"/>
      <c r="B58" s="162"/>
      <c r="C58" s="272"/>
      <c r="D58" s="136"/>
      <c r="E58" s="272"/>
      <c r="F58" s="136"/>
      <c r="G58" s="222">
        <f t="shared" ca="1" si="9"/>
        <v>0</v>
      </c>
      <c r="H58" s="223" t="str">
        <f t="shared" si="10"/>
        <v/>
      </c>
      <c r="J58" s="131">
        <f ca="1">IF(H58="LT",B58*E58-C58*B58*INDIRECT("'Cost Inflation Index'!C"&amp;ROWS(CostInflationTable[#All]))/VLOOKUP(M58,CostInflationTable[[#All],[Yr begin]:[CII]],2,0),0)</f>
        <v>0</v>
      </c>
      <c r="K58" s="131">
        <f t="shared" si="16"/>
        <v>0</v>
      </c>
      <c r="L58" s="75">
        <f t="shared" si="17"/>
        <v>45017</v>
      </c>
      <c r="M58" s="72" t="str">
        <f t="shared" si="18"/>
        <v>1899</v>
      </c>
    </row>
    <row r="59" spans="1:13" x14ac:dyDescent="0.25">
      <c r="A59" s="133"/>
      <c r="B59" s="162"/>
      <c r="C59" s="272"/>
      <c r="D59" s="136"/>
      <c r="E59" s="272"/>
      <c r="F59" s="136"/>
      <c r="G59" s="222">
        <f t="shared" ca="1" si="9"/>
        <v>0</v>
      </c>
      <c r="H59" s="223" t="str">
        <f t="shared" si="10"/>
        <v/>
      </c>
      <c r="J59" s="131">
        <f ca="1">IF(H59="LT",B59*E59-C59*B59*INDIRECT("'Cost Inflation Index'!C"&amp;ROWS(CostInflationTable[#All]))/VLOOKUP(M59,CostInflationTable[[#All],[Yr begin]:[CII]],2,0),0)</f>
        <v>0</v>
      </c>
      <c r="K59" s="131">
        <f t="shared" si="16"/>
        <v>0</v>
      </c>
      <c r="L59" s="75">
        <f t="shared" si="17"/>
        <v>45017</v>
      </c>
      <c r="M59" s="72" t="str">
        <f t="shared" si="18"/>
        <v>1899</v>
      </c>
    </row>
    <row r="60" spans="1:13" x14ac:dyDescent="0.25">
      <c r="A60" s="133"/>
      <c r="B60" s="162"/>
      <c r="C60" s="272"/>
      <c r="D60" s="136"/>
      <c r="E60" s="272"/>
      <c r="F60" s="136"/>
      <c r="G60" s="222">
        <f t="shared" ca="1" si="9"/>
        <v>0</v>
      </c>
      <c r="H60" s="223" t="str">
        <f t="shared" si="10"/>
        <v/>
      </c>
      <c r="J60" s="131">
        <f ca="1">IF(H60="LT",B60*E60-C60*B60*INDIRECT("'Cost Inflation Index'!C"&amp;ROWS(CostInflationTable[#All]))/VLOOKUP(M60,CostInflationTable[[#All],[Yr begin]:[CII]],2,0),0)</f>
        <v>0</v>
      </c>
      <c r="K60" s="131">
        <f t="shared" si="16"/>
        <v>0</v>
      </c>
      <c r="L60" s="75">
        <f t="shared" si="17"/>
        <v>45017</v>
      </c>
      <c r="M60" s="72" t="str">
        <f t="shared" si="18"/>
        <v>1899</v>
      </c>
    </row>
    <row r="61" spans="1:13" x14ac:dyDescent="0.25">
      <c r="A61" s="133"/>
      <c r="B61" s="162"/>
      <c r="C61" s="272"/>
      <c r="D61" s="136"/>
      <c r="E61" s="272"/>
      <c r="F61" s="136"/>
      <c r="G61" s="222">
        <f t="shared" ca="1" si="9"/>
        <v>0</v>
      </c>
      <c r="H61" s="223" t="str">
        <f t="shared" si="10"/>
        <v/>
      </c>
      <c r="J61" s="131">
        <f ca="1">IF(H61="LT",B61*E61-C61*B61*INDIRECT("'Cost Inflation Index'!C"&amp;ROWS(CostInflationTable[#All]))/VLOOKUP(M61,CostInflationTable[[#All],[Yr begin]:[CII]],2,0),0)</f>
        <v>0</v>
      </c>
      <c r="K61" s="131">
        <f t="shared" si="16"/>
        <v>0</v>
      </c>
      <c r="L61" s="75">
        <f t="shared" si="17"/>
        <v>45017</v>
      </c>
      <c r="M61" s="72" t="str">
        <f t="shared" si="18"/>
        <v>1899</v>
      </c>
    </row>
    <row r="62" spans="1:13" x14ac:dyDescent="0.25">
      <c r="A62" s="133"/>
      <c r="B62" s="162"/>
      <c r="C62" s="272"/>
      <c r="D62" s="136"/>
      <c r="E62" s="272"/>
      <c r="F62" s="136"/>
      <c r="G62" s="222">
        <f t="shared" ca="1" si="9"/>
        <v>0</v>
      </c>
      <c r="H62" s="223" t="str">
        <f t="shared" si="10"/>
        <v/>
      </c>
      <c r="J62" s="131">
        <f ca="1">IF(H62="LT",B62*E62-C62*B62*INDIRECT("'Cost Inflation Index'!C"&amp;ROWS(CostInflationTable[#All]))/VLOOKUP(M62,CostInflationTable[[#All],[Yr begin]:[CII]],2,0),0)</f>
        <v>0</v>
      </c>
      <c r="K62" s="131">
        <f t="shared" si="16"/>
        <v>0</v>
      </c>
      <c r="L62" s="75">
        <f t="shared" si="17"/>
        <v>45017</v>
      </c>
      <c r="M62" s="72" t="str">
        <f t="shared" si="18"/>
        <v>1899</v>
      </c>
    </row>
    <row r="63" spans="1:13" x14ac:dyDescent="0.25">
      <c r="A63" s="133"/>
      <c r="B63" s="162"/>
      <c r="C63" s="272"/>
      <c r="D63" s="136"/>
      <c r="E63" s="272"/>
      <c r="F63" s="136"/>
      <c r="G63" s="222">
        <f t="shared" ca="1" si="9"/>
        <v>0</v>
      </c>
      <c r="H63" s="223" t="str">
        <f t="shared" si="10"/>
        <v/>
      </c>
      <c r="J63" s="131">
        <f ca="1">IF(H63="LT",B63*E63-C63*B63*INDIRECT("'Cost Inflation Index'!C"&amp;ROWS(CostInflationTable[#All]))/VLOOKUP(M63,CostInflationTable[[#All],[Yr begin]:[CII]],2,0),0)</f>
        <v>0</v>
      </c>
      <c r="K63" s="131">
        <f t="shared" si="16"/>
        <v>0</v>
      </c>
      <c r="L63" s="75">
        <f t="shared" si="17"/>
        <v>45017</v>
      </c>
      <c r="M63" s="72" t="str">
        <f t="shared" si="18"/>
        <v>1899</v>
      </c>
    </row>
    <row r="64" spans="1:13" x14ac:dyDescent="0.25">
      <c r="A64" s="133"/>
      <c r="B64" s="162"/>
      <c r="C64" s="272"/>
      <c r="D64" s="136"/>
      <c r="E64" s="272"/>
      <c r="F64" s="136"/>
      <c r="G64" s="222">
        <f t="shared" ca="1" si="9"/>
        <v>0</v>
      </c>
      <c r="H64" s="223" t="str">
        <f t="shared" si="10"/>
        <v/>
      </c>
      <c r="J64" s="131">
        <f ca="1">IF(H64="LT",B64*E64-C64*B64*INDIRECT("'Cost Inflation Index'!C"&amp;ROWS(CostInflationTable[#All]))/VLOOKUP(M64,CostInflationTable[[#All],[Yr begin]:[CII]],2,0),0)</f>
        <v>0</v>
      </c>
      <c r="K64" s="131">
        <f t="shared" si="16"/>
        <v>0</v>
      </c>
      <c r="L64" s="75">
        <f t="shared" si="17"/>
        <v>45017</v>
      </c>
      <c r="M64" s="72" t="str">
        <f t="shared" si="18"/>
        <v>1899</v>
      </c>
    </row>
    <row r="65" spans="1:13" x14ac:dyDescent="0.25">
      <c r="A65" s="133"/>
      <c r="B65" s="162"/>
      <c r="C65" s="272"/>
      <c r="D65" s="136"/>
      <c r="E65" s="272"/>
      <c r="F65" s="136"/>
      <c r="G65" s="222">
        <f t="shared" ca="1" si="9"/>
        <v>0</v>
      </c>
      <c r="H65" s="223" t="str">
        <f t="shared" si="10"/>
        <v/>
      </c>
      <c r="J65" s="131">
        <f ca="1">IF(H65="LT",B65*E65-C65*B65*INDIRECT("'Cost Inflation Index'!C"&amp;ROWS(CostInflationTable[#All]))/VLOOKUP(M65,CostInflationTable[[#All],[Yr begin]:[CII]],2,0),0)</f>
        <v>0</v>
      </c>
      <c r="K65" s="131">
        <f t="shared" si="16"/>
        <v>0</v>
      </c>
      <c r="L65" s="75">
        <f t="shared" si="17"/>
        <v>45017</v>
      </c>
      <c r="M65" s="72" t="str">
        <f t="shared" si="18"/>
        <v>1899</v>
      </c>
    </row>
    <row r="66" spans="1:13" x14ac:dyDescent="0.25">
      <c r="A66" s="133"/>
      <c r="B66" s="162"/>
      <c r="C66" s="272"/>
      <c r="D66" s="136"/>
      <c r="E66" s="272"/>
      <c r="F66" s="136"/>
      <c r="G66" s="222">
        <f t="shared" ca="1" si="9"/>
        <v>0</v>
      </c>
      <c r="H66" s="223" t="str">
        <f t="shared" si="10"/>
        <v/>
      </c>
      <c r="J66" s="131">
        <f ca="1">IF(H66="LT",B66*E66-C66*B66*INDIRECT("'Cost Inflation Index'!C"&amp;ROWS(CostInflationTable[#All]))/VLOOKUP(M66,CostInflationTable[[#All],[Yr begin]:[CII]],2,0),0)</f>
        <v>0</v>
      </c>
      <c r="K66" s="131">
        <f t="shared" si="16"/>
        <v>0</v>
      </c>
      <c r="L66" s="75">
        <f t="shared" si="17"/>
        <v>45017</v>
      </c>
      <c r="M66" s="72" t="str">
        <f t="shared" si="18"/>
        <v>1899</v>
      </c>
    </row>
    <row r="67" spans="1:13" x14ac:dyDescent="0.25">
      <c r="A67" s="133"/>
      <c r="B67" s="162"/>
      <c r="C67" s="272"/>
      <c r="D67" s="136"/>
      <c r="E67" s="272"/>
      <c r="F67" s="136"/>
      <c r="G67" s="222">
        <f t="shared" ca="1" si="9"/>
        <v>0</v>
      </c>
      <c r="H67" s="223" t="str">
        <f t="shared" si="10"/>
        <v/>
      </c>
      <c r="J67" s="131">
        <f ca="1">IF(H67="LT",B67*E67-C67*B67*INDIRECT("'Cost Inflation Index'!C"&amp;ROWS(CostInflationTable[#All]))/VLOOKUP(M67,CostInflationTable[[#All],[Yr begin]:[CII]],2,0),0)</f>
        <v>0</v>
      </c>
      <c r="K67" s="131">
        <f t="shared" si="16"/>
        <v>0</v>
      </c>
      <c r="L67" s="75">
        <f t="shared" si="17"/>
        <v>45017</v>
      </c>
      <c r="M67" s="72" t="str">
        <f t="shared" si="18"/>
        <v>1899</v>
      </c>
    </row>
    <row r="68" spans="1:13" x14ac:dyDescent="0.25">
      <c r="A68" s="133"/>
      <c r="B68" s="162"/>
      <c r="C68" s="272"/>
      <c r="D68" s="136"/>
      <c r="E68" s="272"/>
      <c r="F68" s="136"/>
      <c r="G68" s="222">
        <f t="shared" ca="1" si="9"/>
        <v>0</v>
      </c>
      <c r="H68" s="223" t="str">
        <f t="shared" si="10"/>
        <v/>
      </c>
      <c r="J68" s="131">
        <f ca="1">IF(H68="LT",B68*E68-C68*B68*INDIRECT("'Cost Inflation Index'!C"&amp;ROWS(CostInflationTable[#All]))/VLOOKUP(M68,CostInflationTable[[#All],[Yr begin]:[CII]],2,0),0)</f>
        <v>0</v>
      </c>
      <c r="K68" s="131">
        <f t="shared" si="16"/>
        <v>0</v>
      </c>
      <c r="L68" s="75">
        <f t="shared" si="17"/>
        <v>45017</v>
      </c>
      <c r="M68" s="72" t="str">
        <f t="shared" si="18"/>
        <v>1899</v>
      </c>
    </row>
    <row r="69" spans="1:13" x14ac:dyDescent="0.25">
      <c r="A69" s="133"/>
      <c r="B69" s="162"/>
      <c r="C69" s="272"/>
      <c r="D69" s="136"/>
      <c r="E69" s="272"/>
      <c r="F69" s="136"/>
      <c r="G69" s="222">
        <f t="shared" ca="1" si="9"/>
        <v>0</v>
      </c>
      <c r="H69" s="223" t="str">
        <f t="shared" si="10"/>
        <v/>
      </c>
      <c r="J69" s="131">
        <f ca="1">IF(H69="LT",B69*E69-C69*B69*INDIRECT("'Cost Inflation Index'!C"&amp;ROWS(CostInflationTable[#All]))/VLOOKUP(M69,CostInflationTable[[#All],[Yr begin]:[CII]],2,0),0)</f>
        <v>0</v>
      </c>
      <c r="K69" s="131">
        <f t="shared" si="16"/>
        <v>0</v>
      </c>
      <c r="L69" s="75">
        <f t="shared" si="17"/>
        <v>45017</v>
      </c>
      <c r="M69" s="72" t="str">
        <f t="shared" si="18"/>
        <v>1899</v>
      </c>
    </row>
    <row r="70" spans="1:13" x14ac:dyDescent="0.25">
      <c r="A70" s="133"/>
      <c r="B70" s="162"/>
      <c r="C70" s="272"/>
      <c r="D70" s="136"/>
      <c r="E70" s="272"/>
      <c r="F70" s="136"/>
      <c r="G70" s="222">
        <f t="shared" ca="1" si="9"/>
        <v>0</v>
      </c>
      <c r="H70" s="223" t="str">
        <f t="shared" si="10"/>
        <v/>
      </c>
      <c r="J70" s="131">
        <f ca="1">IF(H70="LT",B70*E70-C70*B70*INDIRECT("'Cost Inflation Index'!C"&amp;ROWS(CostInflationTable[#All]))/VLOOKUP(M70,CostInflationTable[[#All],[Yr begin]:[CII]],2,0),0)</f>
        <v>0</v>
      </c>
      <c r="K70" s="131">
        <f t="shared" si="16"/>
        <v>0</v>
      </c>
      <c r="L70" s="75">
        <f t="shared" si="17"/>
        <v>45017</v>
      </c>
      <c r="M70" s="72" t="str">
        <f t="shared" si="18"/>
        <v>1899</v>
      </c>
    </row>
    <row r="71" spans="1:13" x14ac:dyDescent="0.25">
      <c r="A71" s="133"/>
      <c r="B71" s="162"/>
      <c r="C71" s="272"/>
      <c r="D71" s="136"/>
      <c r="E71" s="272"/>
      <c r="F71" s="136"/>
      <c r="G71" s="222">
        <f t="shared" ca="1" si="9"/>
        <v>0</v>
      </c>
      <c r="H71" s="223" t="str">
        <f t="shared" si="10"/>
        <v/>
      </c>
      <c r="J71" s="131">
        <f ca="1">IF(H71="LT",B71*E71-C71*B71*INDIRECT("'Cost Inflation Index'!C"&amp;ROWS(CostInflationTable[#All]))/VLOOKUP(M71,CostInflationTable[[#All],[Yr begin]:[CII]],2,0),0)</f>
        <v>0</v>
      </c>
      <c r="K71" s="131">
        <f t="shared" si="16"/>
        <v>0</v>
      </c>
      <c r="L71" s="75">
        <f t="shared" si="17"/>
        <v>45017</v>
      </c>
      <c r="M71" s="72" t="str">
        <f t="shared" si="18"/>
        <v>1899</v>
      </c>
    </row>
    <row r="72" spans="1:13" x14ac:dyDescent="0.25">
      <c r="A72" s="133"/>
      <c r="B72" s="162"/>
      <c r="C72" s="272"/>
      <c r="D72" s="136"/>
      <c r="E72" s="272"/>
      <c r="F72" s="136"/>
      <c r="G72" s="222">
        <f t="shared" ca="1" si="9"/>
        <v>0</v>
      </c>
      <c r="H72" s="223" t="str">
        <f t="shared" si="10"/>
        <v/>
      </c>
      <c r="J72" s="131">
        <f ca="1">IF(H72="LT",B72*E72-C72*B72*INDIRECT("'Cost Inflation Index'!C"&amp;ROWS(CostInflationTable[#All]))/VLOOKUP(M72,CostInflationTable[[#All],[Yr begin]:[CII]],2,0),0)</f>
        <v>0</v>
      </c>
      <c r="K72" s="131">
        <f t="shared" si="16"/>
        <v>0</v>
      </c>
      <c r="L72" s="75">
        <f t="shared" si="17"/>
        <v>45017</v>
      </c>
      <c r="M72" s="72" t="str">
        <f t="shared" si="18"/>
        <v>1899</v>
      </c>
    </row>
    <row r="73" spans="1:13" x14ac:dyDescent="0.25">
      <c r="A73" s="133"/>
      <c r="B73" s="162"/>
      <c r="C73" s="272"/>
      <c r="D73" s="136"/>
      <c r="E73" s="272"/>
      <c r="F73" s="136"/>
      <c r="G73" s="222">
        <f t="shared" ca="1" si="9"/>
        <v>0</v>
      </c>
      <c r="H73" s="223" t="str">
        <f t="shared" si="10"/>
        <v/>
      </c>
      <c r="J73" s="131">
        <f ca="1">IF(H73="LT",B73*E73-C73*B73*INDIRECT("'Cost Inflation Index'!C"&amp;ROWS(CostInflationTable[#All]))/VLOOKUP(M73,CostInflationTable[[#All],[Yr begin]:[CII]],2,0),0)</f>
        <v>0</v>
      </c>
      <c r="K73" s="131">
        <f t="shared" si="16"/>
        <v>0</v>
      </c>
      <c r="L73" s="75">
        <f t="shared" si="17"/>
        <v>45017</v>
      </c>
      <c r="M73" s="72" t="str">
        <f t="shared" si="18"/>
        <v>1899</v>
      </c>
    </row>
    <row r="74" spans="1:13" x14ac:dyDescent="0.25">
      <c r="A74" s="133"/>
      <c r="B74" s="162"/>
      <c r="C74" s="272"/>
      <c r="D74" s="136"/>
      <c r="E74" s="272"/>
      <c r="F74" s="136"/>
      <c r="G74" s="222">
        <f t="shared" ca="1" si="9"/>
        <v>0</v>
      </c>
      <c r="H74" s="223" t="str">
        <f t="shared" si="10"/>
        <v/>
      </c>
      <c r="J74" s="131">
        <f ca="1">IF(H74="LT",B74*E74-C74*B74*INDIRECT("'Cost Inflation Index'!C"&amp;ROWS(CostInflationTable[#All]))/VLOOKUP(M74,CostInflationTable[[#All],[Yr begin]:[CII]],2,0),0)</f>
        <v>0</v>
      </c>
      <c r="K74" s="131">
        <f t="shared" si="16"/>
        <v>0</v>
      </c>
      <c r="L74" s="75">
        <f t="shared" si="17"/>
        <v>45017</v>
      </c>
      <c r="M74" s="72" t="str">
        <f t="shared" si="18"/>
        <v>1899</v>
      </c>
    </row>
    <row r="75" spans="1:13" x14ac:dyDescent="0.25">
      <c r="A75" s="133"/>
      <c r="B75" s="162"/>
      <c r="C75" s="272"/>
      <c r="D75" s="136"/>
      <c r="E75" s="272"/>
      <c r="F75" s="136"/>
      <c r="G75" s="222">
        <f t="shared" ca="1" si="9"/>
        <v>0</v>
      </c>
      <c r="H75" s="223" t="str">
        <f t="shared" si="10"/>
        <v/>
      </c>
      <c r="J75" s="131">
        <f ca="1">IF(H75="LT",B75*E75-C75*B75*INDIRECT("'Cost Inflation Index'!C"&amp;ROWS(CostInflationTable[#All]))/VLOOKUP(M75,CostInflationTable[[#All],[Yr begin]:[CII]],2,0),0)</f>
        <v>0</v>
      </c>
      <c r="K75" s="131">
        <f t="shared" si="16"/>
        <v>0</v>
      </c>
      <c r="L75" s="75">
        <f t="shared" si="17"/>
        <v>45017</v>
      </c>
      <c r="M75" s="72" t="str">
        <f t="shared" si="18"/>
        <v>1899</v>
      </c>
    </row>
    <row r="76" spans="1:13" x14ac:dyDescent="0.25">
      <c r="A76" s="133"/>
      <c r="B76" s="162"/>
      <c r="C76" s="272"/>
      <c r="D76" s="136"/>
      <c r="E76" s="272"/>
      <c r="F76" s="136"/>
      <c r="G76" s="222">
        <f t="shared" ca="1" si="9"/>
        <v>0</v>
      </c>
      <c r="H76" s="223" t="str">
        <f t="shared" si="10"/>
        <v/>
      </c>
      <c r="J76" s="131">
        <f ca="1">IF(H76="LT",B76*E76-C76*B76*INDIRECT("'Cost Inflation Index'!C"&amp;ROWS(CostInflationTable[#All]))/VLOOKUP(M76,CostInflationTable[[#All],[Yr begin]:[CII]],2,0),0)</f>
        <v>0</v>
      </c>
      <c r="K76" s="131">
        <f t="shared" si="16"/>
        <v>0</v>
      </c>
      <c r="L76" s="75">
        <f t="shared" si="17"/>
        <v>45017</v>
      </c>
      <c r="M76" s="72" t="str">
        <f t="shared" si="18"/>
        <v>1899</v>
      </c>
    </row>
    <row r="77" spans="1:13" x14ac:dyDescent="0.25">
      <c r="A77" s="133"/>
      <c r="B77" s="162"/>
      <c r="C77" s="272"/>
      <c r="D77" s="136"/>
      <c r="E77" s="272"/>
      <c r="F77" s="136"/>
      <c r="G77" s="222">
        <f t="shared" ca="1" si="9"/>
        <v>0</v>
      </c>
      <c r="H77" s="223" t="str">
        <f t="shared" si="10"/>
        <v/>
      </c>
      <c r="J77" s="131">
        <f ca="1">IF(H77="LT",B77*E77-C77*B77*INDIRECT("'Cost Inflation Index'!C"&amp;ROWS(CostInflationTable[#All]))/VLOOKUP(M77,CostInflationTable[[#All],[Yr begin]:[CII]],2,0),0)</f>
        <v>0</v>
      </c>
      <c r="K77" s="131">
        <f t="shared" si="16"/>
        <v>0</v>
      </c>
      <c r="L77" s="75">
        <f t="shared" si="17"/>
        <v>45017</v>
      </c>
      <c r="M77" s="72" t="str">
        <f t="shared" si="18"/>
        <v>1899</v>
      </c>
    </row>
    <row r="78" spans="1:13" x14ac:dyDescent="0.25">
      <c r="A78" s="133"/>
      <c r="B78" s="162"/>
      <c r="C78" s="272"/>
      <c r="D78" s="136"/>
      <c r="E78" s="272"/>
      <c r="F78" s="136"/>
      <c r="G78" s="222">
        <f t="shared" ca="1" si="9"/>
        <v>0</v>
      </c>
      <c r="H78" s="223" t="str">
        <f t="shared" si="10"/>
        <v/>
      </c>
      <c r="J78" s="131">
        <f ca="1">IF(H78="LT",B78*E78-C78*B78*INDIRECT("'Cost Inflation Index'!C"&amp;ROWS(CostInflationTable[#All]))/VLOOKUP(M78,CostInflationTable[[#All],[Yr begin]:[CII]],2,0),0)</f>
        <v>0</v>
      </c>
      <c r="K78" s="131">
        <f t="shared" si="16"/>
        <v>0</v>
      </c>
      <c r="L78" s="75">
        <f t="shared" si="17"/>
        <v>45017</v>
      </c>
      <c r="M78" s="72" t="str">
        <f t="shared" si="18"/>
        <v>1899</v>
      </c>
    </row>
    <row r="79" spans="1:13" x14ac:dyDescent="0.25">
      <c r="A79" s="133"/>
      <c r="B79" s="162"/>
      <c r="C79" s="272"/>
      <c r="D79" s="136"/>
      <c r="E79" s="272"/>
      <c r="F79" s="136"/>
      <c r="G79" s="222">
        <f t="shared" ca="1" si="9"/>
        <v>0</v>
      </c>
      <c r="H79" s="223" t="str">
        <f t="shared" si="10"/>
        <v/>
      </c>
      <c r="J79" s="131">
        <f ca="1">IF(H79="LT",B79*E79-C79*B79*INDIRECT("'Cost Inflation Index'!C"&amp;ROWS(CostInflationTable[#All]))/VLOOKUP(M79,CostInflationTable[[#All],[Yr begin]:[CII]],2,0),0)</f>
        <v>0</v>
      </c>
      <c r="K79" s="131">
        <f t="shared" si="16"/>
        <v>0</v>
      </c>
      <c r="L79" s="75">
        <f t="shared" si="17"/>
        <v>45017</v>
      </c>
      <c r="M79" s="72" t="str">
        <f t="shared" si="18"/>
        <v>1899</v>
      </c>
    </row>
    <row r="80" spans="1:13" x14ac:dyDescent="0.25">
      <c r="A80" s="133"/>
      <c r="B80" s="162"/>
      <c r="C80" s="272"/>
      <c r="D80" s="136"/>
      <c r="E80" s="272"/>
      <c r="F80" s="136"/>
      <c r="G80" s="222">
        <f t="shared" ca="1" si="9"/>
        <v>0</v>
      </c>
      <c r="H80" s="223" t="str">
        <f t="shared" si="10"/>
        <v/>
      </c>
      <c r="J80" s="131">
        <f ca="1">IF(H80="LT",B80*E80-C80*B80*INDIRECT("'Cost Inflation Index'!C"&amp;ROWS(CostInflationTable[#All]))/VLOOKUP(M80,CostInflationTable[[#All],[Yr begin]:[CII]],2,0),0)</f>
        <v>0</v>
      </c>
      <c r="K80" s="131">
        <f t="shared" si="16"/>
        <v>0</v>
      </c>
      <c r="L80" s="75">
        <f t="shared" si="17"/>
        <v>45017</v>
      </c>
      <c r="M80" s="72" t="str">
        <f t="shared" si="18"/>
        <v>1899</v>
      </c>
    </row>
    <row r="81" spans="1:13" x14ac:dyDescent="0.25">
      <c r="A81" s="133"/>
      <c r="B81" s="162"/>
      <c r="C81" s="272"/>
      <c r="D81" s="136"/>
      <c r="E81" s="272"/>
      <c r="F81" s="136"/>
      <c r="G81" s="222">
        <f t="shared" ca="1" si="9"/>
        <v>0</v>
      </c>
      <c r="H81" s="223" t="str">
        <f t="shared" si="10"/>
        <v/>
      </c>
      <c r="J81" s="131">
        <f ca="1">IF(H81="LT",B81*E81-C81*B81*INDIRECT("'Cost Inflation Index'!C"&amp;ROWS(CostInflationTable[#All]))/VLOOKUP(M81,CostInflationTable[[#All],[Yr begin]:[CII]],2,0),0)</f>
        <v>0</v>
      </c>
      <c r="K81" s="131">
        <f t="shared" si="16"/>
        <v>0</v>
      </c>
      <c r="L81" s="75">
        <f t="shared" si="17"/>
        <v>45017</v>
      </c>
      <c r="M81" s="72" t="str">
        <f t="shared" si="18"/>
        <v>1899</v>
      </c>
    </row>
    <row r="82" spans="1:13" x14ac:dyDescent="0.25">
      <c r="A82" s="133"/>
      <c r="B82" s="162"/>
      <c r="C82" s="272"/>
      <c r="D82" s="136"/>
      <c r="E82" s="272"/>
      <c r="F82" s="136"/>
      <c r="G82" s="222">
        <f t="shared" ca="1" si="9"/>
        <v>0</v>
      </c>
      <c r="H82" s="223" t="str">
        <f t="shared" si="10"/>
        <v/>
      </c>
      <c r="J82" s="131">
        <f ca="1">IF(H82="LT",B82*E82-C82*B82*INDIRECT("'Cost Inflation Index'!C"&amp;ROWS(CostInflationTable[#All]))/VLOOKUP(M82,CostInflationTable[[#All],[Yr begin]:[CII]],2,0),0)</f>
        <v>0</v>
      </c>
      <c r="K82" s="131">
        <f t="shared" si="16"/>
        <v>0</v>
      </c>
      <c r="L82" s="75">
        <f t="shared" si="17"/>
        <v>45017</v>
      </c>
      <c r="M82" s="72" t="str">
        <f t="shared" si="18"/>
        <v>1899</v>
      </c>
    </row>
    <row r="83" spans="1:13" x14ac:dyDescent="0.25">
      <c r="A83" s="133"/>
      <c r="B83" s="162"/>
      <c r="C83" s="272"/>
      <c r="D83" s="136"/>
      <c r="E83" s="272"/>
      <c r="F83" s="136"/>
      <c r="G83" s="222">
        <f t="shared" ca="1" si="9"/>
        <v>0</v>
      </c>
      <c r="H83" s="223" t="str">
        <f t="shared" si="10"/>
        <v/>
      </c>
      <c r="J83" s="131">
        <f ca="1">IF(H83="LT",B83*E83-C83*B83*INDIRECT("'Cost Inflation Index'!C"&amp;ROWS(CostInflationTable[#All]))/VLOOKUP(M83,CostInflationTable[[#All],[Yr begin]:[CII]],2,0),0)</f>
        <v>0</v>
      </c>
      <c r="K83" s="131">
        <f t="shared" si="16"/>
        <v>0</v>
      </c>
      <c r="L83" s="75">
        <f t="shared" si="17"/>
        <v>45017</v>
      </c>
      <c r="M83" s="72" t="str">
        <f t="shared" si="18"/>
        <v>1899</v>
      </c>
    </row>
    <row r="84" spans="1:13" x14ac:dyDescent="0.25">
      <c r="A84" s="133"/>
      <c r="B84" s="162"/>
      <c r="C84" s="272"/>
      <c r="D84" s="136"/>
      <c r="E84" s="272"/>
      <c r="F84" s="136"/>
      <c r="G84" s="222">
        <f t="shared" ca="1" si="9"/>
        <v>0</v>
      </c>
      <c r="H84" s="223" t="str">
        <f t="shared" si="10"/>
        <v/>
      </c>
      <c r="J84" s="131">
        <f ca="1">IF(H84="LT",B84*E84-C84*B84*INDIRECT("'Cost Inflation Index'!C"&amp;ROWS(CostInflationTable[#All]))/VLOOKUP(M84,CostInflationTable[[#All],[Yr begin]:[CII]],2,0),0)</f>
        <v>0</v>
      </c>
      <c r="K84" s="131">
        <f t="shared" si="16"/>
        <v>0</v>
      </c>
      <c r="L84" s="75">
        <f t="shared" si="17"/>
        <v>45017</v>
      </c>
      <c r="M84" s="72" t="str">
        <f t="shared" si="18"/>
        <v>1899</v>
      </c>
    </row>
    <row r="85" spans="1:13" x14ac:dyDescent="0.25">
      <c r="A85" s="133"/>
      <c r="B85" s="162"/>
      <c r="C85" s="272"/>
      <c r="D85" s="136"/>
      <c r="E85" s="272"/>
      <c r="F85" s="136"/>
      <c r="G85" s="222">
        <f t="shared" ca="1" si="9"/>
        <v>0</v>
      </c>
      <c r="H85" s="223" t="str">
        <f t="shared" si="10"/>
        <v/>
      </c>
      <c r="J85" s="131">
        <f ca="1">IF(H85="LT",B85*E85-C85*B85*INDIRECT("'Cost Inflation Index'!C"&amp;ROWS(CostInflationTable[#All]))/VLOOKUP(M85,CostInflationTable[[#All],[Yr begin]:[CII]],2,0),0)</f>
        <v>0</v>
      </c>
      <c r="K85" s="131">
        <f t="shared" si="16"/>
        <v>0</v>
      </c>
      <c r="L85" s="75">
        <f t="shared" si="17"/>
        <v>45017</v>
      </c>
      <c r="M85" s="72" t="str">
        <f t="shared" si="18"/>
        <v>1899</v>
      </c>
    </row>
    <row r="86" spans="1:13" x14ac:dyDescent="0.25">
      <c r="A86" s="133"/>
      <c r="B86" s="162"/>
      <c r="C86" s="272"/>
      <c r="D86" s="136"/>
      <c r="E86" s="272"/>
      <c r="F86" s="136"/>
      <c r="G86" s="222">
        <f t="shared" ca="1" si="9"/>
        <v>0</v>
      </c>
      <c r="H86" s="223" t="str">
        <f t="shared" si="10"/>
        <v/>
      </c>
      <c r="J86" s="131">
        <f ca="1">IF(H86="LT",B86*E86-C86*B86*INDIRECT("'Cost Inflation Index'!C"&amp;ROWS(CostInflationTable[#All]))/VLOOKUP(M86,CostInflationTable[[#All],[Yr begin]:[CII]],2,0),0)</f>
        <v>0</v>
      </c>
      <c r="K86" s="131">
        <f t="shared" si="16"/>
        <v>0</v>
      </c>
      <c r="L86" s="75">
        <f t="shared" si="17"/>
        <v>45017</v>
      </c>
      <c r="M86" s="72" t="str">
        <f t="shared" si="18"/>
        <v>1899</v>
      </c>
    </row>
    <row r="87" spans="1:13" x14ac:dyDescent="0.25">
      <c r="A87" s="133"/>
      <c r="B87" s="162"/>
      <c r="C87" s="272"/>
      <c r="D87" s="136"/>
      <c r="E87" s="272"/>
      <c r="F87" s="136"/>
      <c r="G87" s="222">
        <f t="shared" ca="1" si="9"/>
        <v>0</v>
      </c>
      <c r="H87" s="223" t="str">
        <f t="shared" si="10"/>
        <v/>
      </c>
      <c r="J87" s="131">
        <f ca="1">IF(H87="LT",B87*E87-C87*B87*INDIRECT("'Cost Inflation Index'!C"&amp;ROWS(CostInflationTable[#All]))/VLOOKUP(M87,CostInflationTable[[#All],[Yr begin]:[CII]],2,0),0)</f>
        <v>0</v>
      </c>
      <c r="K87" s="131">
        <f t="shared" si="16"/>
        <v>0</v>
      </c>
      <c r="L87" s="75">
        <f t="shared" si="17"/>
        <v>45017</v>
      </c>
      <c r="M87" s="72" t="str">
        <f t="shared" si="18"/>
        <v>1899</v>
      </c>
    </row>
    <row r="88" spans="1:13" x14ac:dyDescent="0.25">
      <c r="A88" s="133"/>
      <c r="B88" s="162"/>
      <c r="C88" s="272"/>
      <c r="D88" s="136"/>
      <c r="E88" s="272"/>
      <c r="F88" s="136"/>
      <c r="G88" s="222">
        <f t="shared" ref="G88:G122" ca="1" si="19">J88+K88</f>
        <v>0</v>
      </c>
      <c r="H88" s="223" t="str">
        <f t="shared" ref="H88:H122" si="20">IF(OR(F88="",D88=""),"","ST")</f>
        <v/>
      </c>
      <c r="J88" s="131">
        <f ca="1">IF(H88="LT",B88*E88-C88*B88*INDIRECT("'Cost Inflation Index'!C"&amp;ROWS(CostInflationTable[#All]))/VLOOKUP(M88,CostInflationTable[[#All],[Yr begin]:[CII]],2,0),0)</f>
        <v>0</v>
      </c>
      <c r="K88" s="131">
        <f t="shared" si="16"/>
        <v>0</v>
      </c>
      <c r="L88" s="75">
        <f t="shared" si="17"/>
        <v>45017</v>
      </c>
      <c r="M88" s="72" t="str">
        <f t="shared" si="18"/>
        <v>1899</v>
      </c>
    </row>
    <row r="89" spans="1:13" x14ac:dyDescent="0.25">
      <c r="A89" s="133"/>
      <c r="B89" s="162"/>
      <c r="C89" s="272"/>
      <c r="D89" s="136"/>
      <c r="E89" s="272"/>
      <c r="F89" s="136"/>
      <c r="G89" s="222">
        <f t="shared" ca="1" si="19"/>
        <v>0</v>
      </c>
      <c r="H89" s="223" t="str">
        <f t="shared" si="20"/>
        <v/>
      </c>
      <c r="J89" s="131">
        <f ca="1">IF(H89="LT",B89*E89-C89*B89*INDIRECT("'Cost Inflation Index'!C"&amp;ROWS(CostInflationTable[#All]))/VLOOKUP(M89,CostInflationTable[[#All],[Yr begin]:[CII]],2,0),0)</f>
        <v>0</v>
      </c>
      <c r="K89" s="131">
        <f t="shared" si="16"/>
        <v>0</v>
      </c>
      <c r="L89" s="75">
        <f t="shared" si="17"/>
        <v>45017</v>
      </c>
      <c r="M89" s="72" t="str">
        <f t="shared" si="18"/>
        <v>1899</v>
      </c>
    </row>
    <row r="90" spans="1:13" x14ac:dyDescent="0.25">
      <c r="A90" s="133"/>
      <c r="B90" s="162"/>
      <c r="C90" s="272"/>
      <c r="D90" s="136"/>
      <c r="E90" s="272"/>
      <c r="F90" s="136"/>
      <c r="G90" s="222">
        <f t="shared" ca="1" si="19"/>
        <v>0</v>
      </c>
      <c r="H90" s="223" t="str">
        <f t="shared" si="20"/>
        <v/>
      </c>
      <c r="J90" s="131">
        <f ca="1">IF(H90="LT",B90*E90-C90*B90*INDIRECT("'Cost Inflation Index'!C"&amp;ROWS(CostInflationTable[#All]))/VLOOKUP(M90,CostInflationTable[[#All],[Yr begin]:[CII]],2,0),0)</f>
        <v>0</v>
      </c>
      <c r="K90" s="131">
        <f t="shared" si="16"/>
        <v>0</v>
      </c>
      <c r="L90" s="75">
        <f t="shared" si="17"/>
        <v>45017</v>
      </c>
      <c r="M90" s="72" t="str">
        <f t="shared" si="18"/>
        <v>1899</v>
      </c>
    </row>
    <row r="91" spans="1:13" x14ac:dyDescent="0.25">
      <c r="A91" s="133"/>
      <c r="B91" s="162"/>
      <c r="C91" s="272"/>
      <c r="D91" s="136"/>
      <c r="E91" s="272"/>
      <c r="F91" s="136"/>
      <c r="G91" s="222">
        <f t="shared" ca="1" si="19"/>
        <v>0</v>
      </c>
      <c r="H91" s="223" t="str">
        <f t="shared" si="20"/>
        <v/>
      </c>
      <c r="J91" s="131">
        <f ca="1">IF(H91="LT",B91*E91-C91*B91*INDIRECT("'Cost Inflation Index'!C"&amp;ROWS(CostInflationTable[#All]))/VLOOKUP(M91,CostInflationTable[[#All],[Yr begin]:[CII]],2,0),0)</f>
        <v>0</v>
      </c>
      <c r="K91" s="131">
        <f t="shared" ref="K91" si="21">IF(H91="ST",E91*B91-C91*B91,0)</f>
        <v>0</v>
      </c>
      <c r="L91" s="75">
        <f t="shared" ref="L91" si="22">MAX($O$5,D91)</f>
        <v>45017</v>
      </c>
      <c r="M91" s="72" t="str">
        <f t="shared" ref="M91" si="23">TEXT(YEAR(D91)-IF(MONTH(D91)&lt;4,1,0),"0")</f>
        <v>1899</v>
      </c>
    </row>
    <row r="92" spans="1:13" x14ac:dyDescent="0.25">
      <c r="A92" s="133"/>
      <c r="B92" s="162"/>
      <c r="C92" s="272"/>
      <c r="D92" s="136"/>
      <c r="E92" s="272"/>
      <c r="F92" s="136"/>
      <c r="G92" s="222">
        <f t="shared" ca="1" si="19"/>
        <v>0</v>
      </c>
      <c r="H92" s="223" t="str">
        <f t="shared" si="20"/>
        <v/>
      </c>
      <c r="J92" s="131">
        <f ca="1">IF(H92="LT",B92*E92-C92*B92*INDIRECT("'Cost Inflation Index'!C"&amp;ROWS(CostInflationTable[#All]))/VLOOKUP(M92,CostInflationTable[[#All],[Yr begin]:[CII]],2,0),0)</f>
        <v>0</v>
      </c>
      <c r="K92" s="131">
        <f t="shared" si="13"/>
        <v>0</v>
      </c>
      <c r="L92" s="75">
        <f t="shared" si="14"/>
        <v>45017</v>
      </c>
      <c r="M92" s="72" t="str">
        <f t="shared" si="15"/>
        <v>1899</v>
      </c>
    </row>
    <row r="93" spans="1:13" x14ac:dyDescent="0.25">
      <c r="A93" s="133"/>
      <c r="B93" s="162"/>
      <c r="C93" s="272"/>
      <c r="D93" s="136"/>
      <c r="E93" s="272"/>
      <c r="F93" s="136"/>
      <c r="G93" s="222">
        <f t="shared" ca="1" si="19"/>
        <v>0</v>
      </c>
      <c r="H93" s="223" t="str">
        <f t="shared" si="20"/>
        <v/>
      </c>
      <c r="J93" s="131">
        <f ca="1">IF(H93="LT",B93*E93-C93*B93*INDIRECT("'Cost Inflation Index'!C"&amp;ROWS(CostInflationTable[#All]))/VLOOKUP(M93,CostInflationTable[[#All],[Yr begin]:[CII]],2,0),0)</f>
        <v>0</v>
      </c>
      <c r="K93" s="131">
        <f t="shared" si="13"/>
        <v>0</v>
      </c>
      <c r="L93" s="75">
        <f t="shared" si="14"/>
        <v>45017</v>
      </c>
      <c r="M93" s="72" t="str">
        <f t="shared" si="15"/>
        <v>1899</v>
      </c>
    </row>
    <row r="94" spans="1:13" x14ac:dyDescent="0.25">
      <c r="A94" s="133"/>
      <c r="B94" s="162"/>
      <c r="C94" s="272"/>
      <c r="D94" s="136"/>
      <c r="E94" s="272"/>
      <c r="F94" s="136"/>
      <c r="G94" s="222">
        <f t="shared" ca="1" si="19"/>
        <v>0</v>
      </c>
      <c r="H94" s="223" t="str">
        <f t="shared" si="20"/>
        <v/>
      </c>
      <c r="J94" s="131">
        <f ca="1">IF(H94="LT",B94*E94-C94*B94*INDIRECT("'Cost Inflation Index'!C"&amp;ROWS(CostInflationTable[#All]))/VLOOKUP(M94,CostInflationTable[[#All],[Yr begin]:[CII]],2,0),0)</f>
        <v>0</v>
      </c>
      <c r="K94" s="131">
        <f t="shared" si="13"/>
        <v>0</v>
      </c>
      <c r="L94" s="75">
        <f t="shared" si="14"/>
        <v>45017</v>
      </c>
      <c r="M94" s="72" t="str">
        <f t="shared" si="15"/>
        <v>1899</v>
      </c>
    </row>
    <row r="95" spans="1:13" x14ac:dyDescent="0.25">
      <c r="A95" s="133"/>
      <c r="B95" s="162"/>
      <c r="C95" s="272"/>
      <c r="D95" s="136"/>
      <c r="E95" s="272"/>
      <c r="F95" s="136"/>
      <c r="G95" s="222">
        <f t="shared" ca="1" si="19"/>
        <v>0</v>
      </c>
      <c r="H95" s="223" t="str">
        <f t="shared" si="20"/>
        <v/>
      </c>
      <c r="J95" s="131">
        <f ca="1">IF(H95="LT",B95*E95-C95*B95*INDIRECT("'Cost Inflation Index'!C"&amp;ROWS(CostInflationTable[#All]))/VLOOKUP(M95,CostInflationTable[[#All],[Yr begin]:[CII]],2,0),0)</f>
        <v>0</v>
      </c>
      <c r="K95" s="131">
        <f t="shared" si="13"/>
        <v>0</v>
      </c>
      <c r="L95" s="75">
        <f t="shared" si="14"/>
        <v>45017</v>
      </c>
      <c r="M95" s="72" t="str">
        <f t="shared" si="15"/>
        <v>1899</v>
      </c>
    </row>
    <row r="96" spans="1:13" x14ac:dyDescent="0.25">
      <c r="A96" s="133"/>
      <c r="B96" s="162"/>
      <c r="C96" s="272"/>
      <c r="D96" s="136"/>
      <c r="E96" s="272"/>
      <c r="F96" s="136"/>
      <c r="G96" s="222">
        <f t="shared" ca="1" si="19"/>
        <v>0</v>
      </c>
      <c r="H96" s="223" t="str">
        <f t="shared" si="20"/>
        <v/>
      </c>
      <c r="J96" s="131">
        <f ca="1">IF(H96="LT",B96*E96-C96*B96*INDIRECT("'Cost Inflation Index'!C"&amp;ROWS(CostInflationTable[#All]))/VLOOKUP(M96,CostInflationTable[[#All],[Yr begin]:[CII]],2,0),0)</f>
        <v>0</v>
      </c>
      <c r="K96" s="131">
        <f t="shared" si="13"/>
        <v>0</v>
      </c>
      <c r="L96" s="75">
        <f t="shared" si="14"/>
        <v>45017</v>
      </c>
      <c r="M96" s="72" t="str">
        <f t="shared" si="15"/>
        <v>1899</v>
      </c>
    </row>
    <row r="97" spans="1:13" x14ac:dyDescent="0.25">
      <c r="A97" s="133"/>
      <c r="B97" s="162"/>
      <c r="C97" s="272"/>
      <c r="D97" s="136"/>
      <c r="E97" s="272"/>
      <c r="F97" s="136"/>
      <c r="G97" s="222">
        <f t="shared" ca="1" si="19"/>
        <v>0</v>
      </c>
      <c r="H97" s="223" t="str">
        <f t="shared" si="20"/>
        <v/>
      </c>
      <c r="J97" s="131">
        <f ca="1">IF(H97="LT",B97*E97-C97*B97*INDIRECT("'Cost Inflation Index'!C"&amp;ROWS(CostInflationTable[#All]))/VLOOKUP(M97,CostInflationTable[[#All],[Yr begin]:[CII]],2,0),0)</f>
        <v>0</v>
      </c>
      <c r="K97" s="131">
        <f t="shared" si="13"/>
        <v>0</v>
      </c>
      <c r="L97" s="75">
        <f t="shared" si="14"/>
        <v>45017</v>
      </c>
      <c r="M97" s="72" t="str">
        <f t="shared" si="15"/>
        <v>1899</v>
      </c>
    </row>
    <row r="98" spans="1:13" x14ac:dyDescent="0.25">
      <c r="A98" s="133"/>
      <c r="B98" s="162"/>
      <c r="C98" s="272"/>
      <c r="D98" s="136"/>
      <c r="E98" s="272"/>
      <c r="F98" s="136"/>
      <c r="G98" s="222">
        <f t="shared" ca="1" si="19"/>
        <v>0</v>
      </c>
      <c r="H98" s="223" t="str">
        <f t="shared" si="20"/>
        <v/>
      </c>
      <c r="J98" s="131">
        <f ca="1">IF(H98="LT",B98*E98-C98*B98*INDIRECT("'Cost Inflation Index'!C"&amp;ROWS(CostInflationTable[#All]))/VLOOKUP(M98,CostInflationTable[[#All],[Yr begin]:[CII]],2,0),0)</f>
        <v>0</v>
      </c>
      <c r="K98" s="131">
        <f t="shared" si="13"/>
        <v>0</v>
      </c>
      <c r="L98" s="75">
        <f t="shared" si="14"/>
        <v>45017</v>
      </c>
      <c r="M98" s="72" t="str">
        <f t="shared" si="15"/>
        <v>1899</v>
      </c>
    </row>
    <row r="99" spans="1:13" x14ac:dyDescent="0.25">
      <c r="A99" s="133"/>
      <c r="B99" s="162"/>
      <c r="C99" s="272"/>
      <c r="D99" s="136"/>
      <c r="E99" s="272"/>
      <c r="F99" s="136"/>
      <c r="G99" s="222">
        <f t="shared" ca="1" si="19"/>
        <v>0</v>
      </c>
      <c r="H99" s="223" t="str">
        <f t="shared" si="20"/>
        <v/>
      </c>
      <c r="J99" s="131">
        <f ca="1">IF(H99="LT",B99*E99-C99*B99*INDIRECT("'Cost Inflation Index'!C"&amp;ROWS(CostInflationTable[#All]))/VLOOKUP(M99,CostInflationTable[[#All],[Yr begin]:[CII]],2,0),0)</f>
        <v>0</v>
      </c>
      <c r="K99" s="131">
        <f t="shared" si="13"/>
        <v>0</v>
      </c>
      <c r="L99" s="75">
        <f t="shared" si="14"/>
        <v>45017</v>
      </c>
      <c r="M99" s="72" t="str">
        <f t="shared" si="15"/>
        <v>1899</v>
      </c>
    </row>
    <row r="100" spans="1:13" x14ac:dyDescent="0.25">
      <c r="A100" s="133"/>
      <c r="B100" s="162"/>
      <c r="C100" s="272"/>
      <c r="D100" s="136"/>
      <c r="E100" s="272"/>
      <c r="F100" s="136"/>
      <c r="G100" s="222">
        <f t="shared" ca="1" si="19"/>
        <v>0</v>
      </c>
      <c r="H100" s="223" t="str">
        <f t="shared" si="20"/>
        <v/>
      </c>
      <c r="J100" s="131">
        <f ca="1">IF(H100="LT",B100*E100-C100*B100*INDIRECT("'Cost Inflation Index'!C"&amp;ROWS(CostInflationTable[#All]))/VLOOKUP(M100,CostInflationTable[[#All],[Yr begin]:[CII]],2,0),0)</f>
        <v>0</v>
      </c>
      <c r="K100" s="131">
        <f t="shared" si="13"/>
        <v>0</v>
      </c>
      <c r="L100" s="75">
        <f t="shared" si="14"/>
        <v>45017</v>
      </c>
      <c r="M100" s="72" t="str">
        <f t="shared" si="15"/>
        <v>1899</v>
      </c>
    </row>
    <row r="101" spans="1:13" x14ac:dyDescent="0.25">
      <c r="A101" s="133"/>
      <c r="B101" s="162"/>
      <c r="C101" s="272"/>
      <c r="D101" s="136"/>
      <c r="E101" s="272"/>
      <c r="F101" s="136"/>
      <c r="G101" s="222">
        <f t="shared" ca="1" si="19"/>
        <v>0</v>
      </c>
      <c r="H101" s="223" t="str">
        <f t="shared" si="20"/>
        <v/>
      </c>
      <c r="J101" s="131">
        <f ca="1">IF(H101="LT",B101*E101-C101*B101*INDIRECT("'Cost Inflation Index'!C"&amp;ROWS(CostInflationTable[#All]))/VLOOKUP(M101,CostInflationTable[[#All],[Yr begin]:[CII]],2,0),0)</f>
        <v>0</v>
      </c>
      <c r="K101" s="131">
        <f t="shared" si="13"/>
        <v>0</v>
      </c>
      <c r="L101" s="75">
        <f t="shared" si="14"/>
        <v>45017</v>
      </c>
      <c r="M101" s="72" t="str">
        <f t="shared" si="15"/>
        <v>1899</v>
      </c>
    </row>
    <row r="102" spans="1:13" x14ac:dyDescent="0.25">
      <c r="A102" s="133"/>
      <c r="B102" s="162"/>
      <c r="C102" s="272"/>
      <c r="D102" s="136"/>
      <c r="E102" s="272"/>
      <c r="F102" s="136"/>
      <c r="G102" s="222">
        <f t="shared" ca="1" si="19"/>
        <v>0</v>
      </c>
      <c r="H102" s="223" t="str">
        <f t="shared" si="20"/>
        <v/>
      </c>
      <c r="J102" s="131">
        <f ca="1">IF(H102="LT",B102*E102-C102*B102*INDIRECT("'Cost Inflation Index'!C"&amp;ROWS(CostInflationTable[#All]))/VLOOKUP(M102,CostInflationTable[[#All],[Yr begin]:[CII]],2,0),0)</f>
        <v>0</v>
      </c>
      <c r="K102" s="131">
        <f t="shared" si="13"/>
        <v>0</v>
      </c>
      <c r="L102" s="75">
        <f t="shared" si="14"/>
        <v>45017</v>
      </c>
      <c r="M102" s="72" t="str">
        <f t="shared" si="15"/>
        <v>1899</v>
      </c>
    </row>
    <row r="103" spans="1:13" x14ac:dyDescent="0.25">
      <c r="A103" s="133"/>
      <c r="B103" s="162"/>
      <c r="C103" s="272"/>
      <c r="D103" s="136"/>
      <c r="E103" s="272"/>
      <c r="F103" s="136"/>
      <c r="G103" s="222">
        <f t="shared" ca="1" si="19"/>
        <v>0</v>
      </c>
      <c r="H103" s="223" t="str">
        <f t="shared" si="20"/>
        <v/>
      </c>
      <c r="J103" s="131">
        <f ca="1">IF(H103="LT",B103*E103-C103*B103*INDIRECT("'Cost Inflation Index'!C"&amp;ROWS(CostInflationTable[#All]))/VLOOKUP(M103,CostInflationTable[[#All],[Yr begin]:[CII]],2,0),0)</f>
        <v>0</v>
      </c>
      <c r="K103" s="131">
        <f t="shared" si="13"/>
        <v>0</v>
      </c>
      <c r="L103" s="75">
        <f t="shared" si="14"/>
        <v>45017</v>
      </c>
      <c r="M103" s="72" t="str">
        <f t="shared" si="15"/>
        <v>1899</v>
      </c>
    </row>
    <row r="104" spans="1:13" x14ac:dyDescent="0.25">
      <c r="A104" s="133"/>
      <c r="B104" s="162"/>
      <c r="C104" s="272"/>
      <c r="D104" s="136"/>
      <c r="E104" s="272"/>
      <c r="F104" s="136"/>
      <c r="G104" s="222">
        <f t="shared" ca="1" si="19"/>
        <v>0</v>
      </c>
      <c r="H104" s="223" t="str">
        <f t="shared" si="20"/>
        <v/>
      </c>
      <c r="J104" s="131">
        <f ca="1">IF(H104="LT",B104*E104-C104*B104*INDIRECT("'Cost Inflation Index'!C"&amp;ROWS(CostInflationTable[#All]))/VLOOKUP(M104,CostInflationTable[[#All],[Yr begin]:[CII]],2,0),0)</f>
        <v>0</v>
      </c>
      <c r="K104" s="131">
        <f t="shared" si="13"/>
        <v>0</v>
      </c>
      <c r="L104" s="75">
        <f t="shared" si="14"/>
        <v>45017</v>
      </c>
      <c r="M104" s="72" t="str">
        <f t="shared" si="15"/>
        <v>1899</v>
      </c>
    </row>
    <row r="105" spans="1:13" x14ac:dyDescent="0.25">
      <c r="A105" s="133"/>
      <c r="B105" s="162"/>
      <c r="C105" s="272"/>
      <c r="D105" s="136"/>
      <c r="E105" s="272"/>
      <c r="F105" s="136"/>
      <c r="G105" s="222">
        <f t="shared" ca="1" si="19"/>
        <v>0</v>
      </c>
      <c r="H105" s="223" t="str">
        <f t="shared" si="20"/>
        <v/>
      </c>
      <c r="J105" s="131">
        <f ca="1">IF(H105="LT",B105*E105-C105*B105*INDIRECT("'Cost Inflation Index'!C"&amp;ROWS(CostInflationTable[#All]))/VLOOKUP(M105,CostInflationTable[[#All],[Yr begin]:[CII]],2,0),0)</f>
        <v>0</v>
      </c>
      <c r="K105" s="131">
        <f t="shared" si="13"/>
        <v>0</v>
      </c>
      <c r="L105" s="75">
        <f t="shared" si="14"/>
        <v>45017</v>
      </c>
      <c r="M105" s="72" t="str">
        <f t="shared" si="15"/>
        <v>1899</v>
      </c>
    </row>
    <row r="106" spans="1:13" x14ac:dyDescent="0.25">
      <c r="A106" s="133"/>
      <c r="B106" s="162"/>
      <c r="C106" s="272"/>
      <c r="D106" s="136"/>
      <c r="E106" s="272"/>
      <c r="F106" s="136"/>
      <c r="G106" s="222">
        <f t="shared" ca="1" si="19"/>
        <v>0</v>
      </c>
      <c r="H106" s="223" t="str">
        <f t="shared" si="20"/>
        <v/>
      </c>
      <c r="J106" s="131">
        <f ca="1">IF(H106="LT",B106*E106-C106*B106*INDIRECT("'Cost Inflation Index'!C"&amp;ROWS(CostInflationTable[#All]))/VLOOKUP(M106,CostInflationTable[[#All],[Yr begin]:[CII]],2,0),0)</f>
        <v>0</v>
      </c>
      <c r="K106" s="131">
        <f t="shared" si="13"/>
        <v>0</v>
      </c>
      <c r="L106" s="75">
        <f t="shared" si="14"/>
        <v>45017</v>
      </c>
      <c r="M106" s="72" t="str">
        <f t="shared" si="15"/>
        <v>1899</v>
      </c>
    </row>
    <row r="107" spans="1:13" x14ac:dyDescent="0.25">
      <c r="A107" s="133"/>
      <c r="B107" s="162"/>
      <c r="C107" s="272"/>
      <c r="D107" s="136"/>
      <c r="E107" s="272"/>
      <c r="F107" s="136"/>
      <c r="G107" s="222">
        <f t="shared" ca="1" si="19"/>
        <v>0</v>
      </c>
      <c r="H107" s="223" t="str">
        <f t="shared" si="20"/>
        <v/>
      </c>
      <c r="J107" s="131">
        <f ca="1">IF(H107="LT",B107*E107-C107*B107*INDIRECT("'Cost Inflation Index'!C"&amp;ROWS(CostInflationTable[#All]))/VLOOKUP(M107,CostInflationTable[[#All],[Yr begin]:[CII]],2,0),0)</f>
        <v>0</v>
      </c>
      <c r="K107" s="131">
        <f t="shared" si="13"/>
        <v>0</v>
      </c>
      <c r="L107" s="75">
        <f t="shared" si="14"/>
        <v>45017</v>
      </c>
      <c r="M107" s="72" t="str">
        <f t="shared" si="15"/>
        <v>1899</v>
      </c>
    </row>
    <row r="108" spans="1:13" x14ac:dyDescent="0.25">
      <c r="A108" s="133"/>
      <c r="B108" s="162"/>
      <c r="C108" s="272"/>
      <c r="D108" s="136"/>
      <c r="E108" s="272"/>
      <c r="F108" s="136"/>
      <c r="G108" s="222">
        <f t="shared" ca="1" si="19"/>
        <v>0</v>
      </c>
      <c r="H108" s="223" t="str">
        <f t="shared" si="20"/>
        <v/>
      </c>
      <c r="J108" s="131">
        <f ca="1">IF(H108="LT",B108*E108-C108*B108*INDIRECT("'Cost Inflation Index'!C"&amp;ROWS(CostInflationTable[#All]))/VLOOKUP(M108,CostInflationTable[[#All],[Yr begin]:[CII]],2,0),0)</f>
        <v>0</v>
      </c>
      <c r="K108" s="131">
        <f t="shared" si="13"/>
        <v>0</v>
      </c>
      <c r="L108" s="75">
        <f t="shared" si="14"/>
        <v>45017</v>
      </c>
      <c r="M108" s="72" t="str">
        <f t="shared" si="15"/>
        <v>1899</v>
      </c>
    </row>
    <row r="109" spans="1:13" x14ac:dyDescent="0.25">
      <c r="A109" s="133"/>
      <c r="B109" s="162"/>
      <c r="C109" s="272"/>
      <c r="D109" s="136"/>
      <c r="E109" s="272"/>
      <c r="F109" s="136"/>
      <c r="G109" s="222">
        <f t="shared" ca="1" si="19"/>
        <v>0</v>
      </c>
      <c r="H109" s="223" t="str">
        <f t="shared" si="20"/>
        <v/>
      </c>
      <c r="J109" s="131">
        <f ca="1">IF(H109="LT",B109*E109-C109*B109*INDIRECT("'Cost Inflation Index'!C"&amp;ROWS(CostInflationTable[#All]))/VLOOKUP(M109,CostInflationTable[[#All],[Yr begin]:[CII]],2,0),0)</f>
        <v>0</v>
      </c>
      <c r="K109" s="131">
        <f t="shared" si="13"/>
        <v>0</v>
      </c>
      <c r="L109" s="75">
        <f t="shared" si="14"/>
        <v>45017</v>
      </c>
      <c r="M109" s="72" t="str">
        <f t="shared" si="15"/>
        <v>1899</v>
      </c>
    </row>
    <row r="110" spans="1:13" x14ac:dyDescent="0.25">
      <c r="A110" s="133"/>
      <c r="B110" s="162"/>
      <c r="C110" s="272"/>
      <c r="D110" s="136"/>
      <c r="E110" s="272"/>
      <c r="F110" s="136"/>
      <c r="G110" s="222">
        <f t="shared" ca="1" si="19"/>
        <v>0</v>
      </c>
      <c r="H110" s="223" t="str">
        <f t="shared" si="20"/>
        <v/>
      </c>
      <c r="J110" s="131">
        <f ca="1">IF(H110="LT",B110*E110-C110*B110*INDIRECT("'Cost Inflation Index'!C"&amp;ROWS(CostInflationTable[#All]))/VLOOKUP(M110,CostInflationTable[[#All],[Yr begin]:[CII]],2,0),0)</f>
        <v>0</v>
      </c>
      <c r="K110" s="131">
        <f t="shared" si="13"/>
        <v>0</v>
      </c>
      <c r="L110" s="75">
        <f t="shared" si="14"/>
        <v>45017</v>
      </c>
      <c r="M110" s="72" t="str">
        <f t="shared" si="15"/>
        <v>1899</v>
      </c>
    </row>
    <row r="111" spans="1:13" x14ac:dyDescent="0.25">
      <c r="A111" s="133"/>
      <c r="B111" s="162"/>
      <c r="C111" s="272"/>
      <c r="D111" s="136"/>
      <c r="E111" s="272"/>
      <c r="F111" s="136"/>
      <c r="G111" s="222">
        <f t="shared" ca="1" si="19"/>
        <v>0</v>
      </c>
      <c r="H111" s="223" t="str">
        <f t="shared" si="20"/>
        <v/>
      </c>
      <c r="J111" s="131">
        <f ca="1">IF(H111="LT",B111*E111-C111*B111*INDIRECT("'Cost Inflation Index'!C"&amp;ROWS(CostInflationTable[#All]))/VLOOKUP(M111,CostInflationTable[[#All],[Yr begin]:[CII]],2,0),0)</f>
        <v>0</v>
      </c>
      <c r="K111" s="131">
        <f t="shared" si="13"/>
        <v>0</v>
      </c>
      <c r="L111" s="75">
        <f t="shared" si="14"/>
        <v>45017</v>
      </c>
      <c r="M111" s="72" t="str">
        <f t="shared" si="15"/>
        <v>1899</v>
      </c>
    </row>
    <row r="112" spans="1:13" x14ac:dyDescent="0.25">
      <c r="A112" s="133"/>
      <c r="B112" s="162"/>
      <c r="C112" s="272"/>
      <c r="D112" s="136"/>
      <c r="E112" s="272"/>
      <c r="F112" s="136"/>
      <c r="G112" s="222">
        <f t="shared" ca="1" si="19"/>
        <v>0</v>
      </c>
      <c r="H112" s="223" t="str">
        <f t="shared" si="20"/>
        <v/>
      </c>
      <c r="J112" s="131">
        <f ca="1">IF(H112="LT",B112*E112-C112*B112*INDIRECT("'Cost Inflation Index'!C"&amp;ROWS(CostInflationTable[#All]))/VLOOKUP(M112,CostInflationTable[[#All],[Yr begin]:[CII]],2,0),0)</f>
        <v>0</v>
      </c>
      <c r="K112" s="131">
        <f t="shared" si="13"/>
        <v>0</v>
      </c>
      <c r="L112" s="75">
        <f t="shared" si="14"/>
        <v>45017</v>
      </c>
      <c r="M112" s="72" t="str">
        <f t="shared" si="15"/>
        <v>1899</v>
      </c>
    </row>
    <row r="113" spans="1:13" x14ac:dyDescent="0.25">
      <c r="A113" s="133"/>
      <c r="B113" s="162"/>
      <c r="C113" s="272"/>
      <c r="D113" s="136"/>
      <c r="E113" s="272"/>
      <c r="F113" s="136"/>
      <c r="G113" s="222">
        <f t="shared" ca="1" si="19"/>
        <v>0</v>
      </c>
      <c r="H113" s="223" t="str">
        <f t="shared" si="20"/>
        <v/>
      </c>
      <c r="J113" s="131">
        <f ca="1">IF(H113="LT",B113*E113-C113*B113*INDIRECT("'Cost Inflation Index'!C"&amp;ROWS(CostInflationTable[#All]))/VLOOKUP(M113,CostInflationTable[[#All],[Yr begin]:[CII]],2,0),0)</f>
        <v>0</v>
      </c>
      <c r="K113" s="131">
        <f t="shared" si="13"/>
        <v>0</v>
      </c>
      <c r="L113" s="75">
        <f t="shared" si="14"/>
        <v>45017</v>
      </c>
      <c r="M113" s="72" t="str">
        <f t="shared" si="15"/>
        <v>1899</v>
      </c>
    </row>
    <row r="114" spans="1:13" x14ac:dyDescent="0.25">
      <c r="A114" s="133"/>
      <c r="B114" s="162"/>
      <c r="C114" s="272"/>
      <c r="D114" s="136"/>
      <c r="E114" s="272"/>
      <c r="F114" s="136"/>
      <c r="G114" s="222">
        <f t="shared" ca="1" si="19"/>
        <v>0</v>
      </c>
      <c r="H114" s="223" t="str">
        <f t="shared" si="20"/>
        <v/>
      </c>
      <c r="J114" s="131">
        <f ca="1">IF(H114="LT",B114*E114-C114*B114*INDIRECT("'Cost Inflation Index'!C"&amp;ROWS(CostInflationTable[#All]))/VLOOKUP(M114,CostInflationTable[[#All],[Yr begin]:[CII]],2,0),0)</f>
        <v>0</v>
      </c>
      <c r="K114" s="131">
        <f t="shared" si="13"/>
        <v>0</v>
      </c>
      <c r="L114" s="75">
        <f t="shared" si="14"/>
        <v>45017</v>
      </c>
      <c r="M114" s="72" t="str">
        <f t="shared" si="15"/>
        <v>1899</v>
      </c>
    </row>
    <row r="115" spans="1:13" x14ac:dyDescent="0.25">
      <c r="A115" s="133"/>
      <c r="B115" s="162"/>
      <c r="C115" s="272"/>
      <c r="D115" s="136"/>
      <c r="E115" s="272"/>
      <c r="F115" s="136"/>
      <c r="G115" s="222">
        <f t="shared" ca="1" si="19"/>
        <v>0</v>
      </c>
      <c r="H115" s="223" t="str">
        <f t="shared" si="20"/>
        <v/>
      </c>
      <c r="J115" s="131">
        <f ca="1">IF(H115="LT",B115*E115-C115*B115*INDIRECT("'Cost Inflation Index'!C"&amp;ROWS(CostInflationTable[#All]))/VLOOKUP(M115,CostInflationTable[[#All],[Yr begin]:[CII]],2,0),0)</f>
        <v>0</v>
      </c>
      <c r="K115" s="131">
        <f t="shared" si="13"/>
        <v>0</v>
      </c>
      <c r="L115" s="75">
        <f t="shared" si="14"/>
        <v>45017</v>
      </c>
      <c r="M115" s="72" t="str">
        <f t="shared" si="15"/>
        <v>1899</v>
      </c>
    </row>
    <row r="116" spans="1:13" x14ac:dyDescent="0.25">
      <c r="A116" s="133"/>
      <c r="B116" s="162"/>
      <c r="C116" s="272"/>
      <c r="D116" s="136"/>
      <c r="E116" s="272"/>
      <c r="F116" s="136"/>
      <c r="G116" s="222">
        <f t="shared" ca="1" si="19"/>
        <v>0</v>
      </c>
      <c r="H116" s="223" t="str">
        <f t="shared" si="20"/>
        <v/>
      </c>
      <c r="J116" s="131">
        <f ca="1">IF(H116="LT",B116*E116-C116*B116*INDIRECT("'Cost Inflation Index'!C"&amp;ROWS(CostInflationTable[#All]))/VLOOKUP(M116,CostInflationTable[[#All],[Yr begin]:[CII]],2,0),0)</f>
        <v>0</v>
      </c>
      <c r="K116" s="131">
        <f t="shared" si="13"/>
        <v>0</v>
      </c>
      <c r="L116" s="75">
        <f t="shared" si="14"/>
        <v>45017</v>
      </c>
      <c r="M116" s="72" t="str">
        <f t="shared" si="15"/>
        <v>1899</v>
      </c>
    </row>
    <row r="117" spans="1:13" x14ac:dyDescent="0.25">
      <c r="A117" s="133"/>
      <c r="B117" s="162"/>
      <c r="C117" s="272"/>
      <c r="D117" s="136"/>
      <c r="E117" s="272"/>
      <c r="F117" s="136"/>
      <c r="G117" s="222">
        <f t="shared" ca="1" si="19"/>
        <v>0</v>
      </c>
      <c r="H117" s="223" t="str">
        <f t="shared" si="20"/>
        <v/>
      </c>
      <c r="J117" s="131">
        <f ca="1">IF(H117="LT",B117*E117-C117*B117*INDIRECT("'Cost Inflation Index'!C"&amp;ROWS(CostInflationTable[#All]))/VLOOKUP(M117,CostInflationTable[[#All],[Yr begin]:[CII]],2,0),0)</f>
        <v>0</v>
      </c>
      <c r="K117" s="131">
        <f t="shared" si="13"/>
        <v>0</v>
      </c>
      <c r="L117" s="75">
        <f t="shared" si="14"/>
        <v>45017</v>
      </c>
      <c r="M117" s="72" t="str">
        <f t="shared" si="15"/>
        <v>1899</v>
      </c>
    </row>
    <row r="118" spans="1:13" x14ac:dyDescent="0.25">
      <c r="A118" s="133"/>
      <c r="B118" s="162"/>
      <c r="C118" s="272"/>
      <c r="D118" s="136"/>
      <c r="E118" s="272"/>
      <c r="F118" s="136"/>
      <c r="G118" s="222">
        <f t="shared" ca="1" si="19"/>
        <v>0</v>
      </c>
      <c r="H118" s="223" t="str">
        <f t="shared" si="20"/>
        <v/>
      </c>
      <c r="J118" s="131">
        <f ca="1">IF(H118="LT",B118*E118-C118*B118*INDIRECT("'Cost Inflation Index'!C"&amp;ROWS(CostInflationTable[#All]))/VLOOKUP(M118,CostInflationTable[[#All],[Yr begin]:[CII]],2,0),0)</f>
        <v>0</v>
      </c>
      <c r="K118" s="131">
        <f t="shared" si="13"/>
        <v>0</v>
      </c>
      <c r="L118" s="75">
        <f t="shared" si="14"/>
        <v>45017</v>
      </c>
      <c r="M118" s="72" t="str">
        <f t="shared" si="15"/>
        <v>1899</v>
      </c>
    </row>
    <row r="119" spans="1:13" x14ac:dyDescent="0.25">
      <c r="A119" s="133"/>
      <c r="B119" s="162"/>
      <c r="C119" s="272"/>
      <c r="D119" s="136"/>
      <c r="E119" s="272"/>
      <c r="F119" s="136"/>
      <c r="G119" s="222">
        <f t="shared" ca="1" si="19"/>
        <v>0</v>
      </c>
      <c r="H119" s="223" t="str">
        <f t="shared" si="20"/>
        <v/>
      </c>
      <c r="J119" s="131">
        <f ca="1">IF(H119="LT",B119*E119-C119*B119*INDIRECT("'Cost Inflation Index'!C"&amp;ROWS(CostInflationTable[#All]))/VLOOKUP(M119,CostInflationTable[[#All],[Yr begin]:[CII]],2,0),0)</f>
        <v>0</v>
      </c>
      <c r="K119" s="131">
        <f t="shared" si="13"/>
        <v>0</v>
      </c>
      <c r="L119" s="75">
        <f t="shared" si="14"/>
        <v>45017</v>
      </c>
      <c r="M119" s="72" t="str">
        <f t="shared" si="15"/>
        <v>1899</v>
      </c>
    </row>
    <row r="120" spans="1:13" x14ac:dyDescent="0.25">
      <c r="A120" s="133"/>
      <c r="B120" s="162"/>
      <c r="C120" s="272"/>
      <c r="D120" s="136"/>
      <c r="E120" s="272"/>
      <c r="F120" s="136"/>
      <c r="G120" s="222">
        <f t="shared" ca="1" si="19"/>
        <v>0</v>
      </c>
      <c r="H120" s="223" t="str">
        <f t="shared" si="20"/>
        <v/>
      </c>
      <c r="J120" s="131">
        <f ca="1">IF(H120="LT",B120*E120-C120*B120*INDIRECT("'Cost Inflation Index'!C"&amp;ROWS(CostInflationTable[#All]))/VLOOKUP(M120,CostInflationTable[[#All],[Yr begin]:[CII]],2,0),0)</f>
        <v>0</v>
      </c>
      <c r="K120" s="131">
        <f t="shared" si="13"/>
        <v>0</v>
      </c>
      <c r="L120" s="75">
        <f t="shared" si="14"/>
        <v>45017</v>
      </c>
      <c r="M120" s="72" t="str">
        <f t="shared" si="15"/>
        <v>1899</v>
      </c>
    </row>
    <row r="121" spans="1:13" x14ac:dyDescent="0.25">
      <c r="A121" s="133"/>
      <c r="B121" s="162"/>
      <c r="C121" s="272"/>
      <c r="D121" s="136"/>
      <c r="E121" s="272"/>
      <c r="F121" s="136"/>
      <c r="G121" s="222">
        <f t="shared" ca="1" si="19"/>
        <v>0</v>
      </c>
      <c r="H121" s="223" t="str">
        <f t="shared" si="20"/>
        <v/>
      </c>
      <c r="J121" s="131">
        <f ca="1">IF(H121="LT",B121*E121-C121*B121*INDIRECT("'Cost Inflation Index'!C"&amp;ROWS(CostInflationTable[#All]))/VLOOKUP(M121,CostInflationTable[[#All],[Yr begin]:[CII]],2,0),0)</f>
        <v>0</v>
      </c>
      <c r="K121" s="131">
        <f t="shared" si="13"/>
        <v>0</v>
      </c>
      <c r="L121" s="75">
        <f t="shared" si="14"/>
        <v>45017</v>
      </c>
      <c r="M121" s="72" t="str">
        <f t="shared" si="15"/>
        <v>1899</v>
      </c>
    </row>
    <row r="122" spans="1:13" x14ac:dyDescent="0.25">
      <c r="A122" s="133"/>
      <c r="B122" s="162"/>
      <c r="C122" s="272"/>
      <c r="D122" s="136"/>
      <c r="E122" s="272"/>
      <c r="F122" s="136"/>
      <c r="G122" s="222">
        <f t="shared" ca="1" si="19"/>
        <v>0</v>
      </c>
      <c r="H122" s="223" t="str">
        <f t="shared" si="20"/>
        <v/>
      </c>
      <c r="J122" s="131">
        <f ca="1">IF(H122="LT",B122*E122-C122*B122*INDIRECT("'Cost Inflation Index'!C"&amp;ROWS(CostInflationTable[#All]))/VLOOKUP(M122,CostInflationTable[[#All],[Yr begin]:[CII]],2,0),0)</f>
        <v>0</v>
      </c>
      <c r="K122" s="131">
        <f t="shared" si="13"/>
        <v>0</v>
      </c>
      <c r="L122" s="75">
        <f t="shared" si="14"/>
        <v>45017</v>
      </c>
      <c r="M122" s="72" t="str">
        <f t="shared" si="15"/>
        <v>1899</v>
      </c>
    </row>
    <row r="123" spans="1:13" x14ac:dyDescent="0.25"/>
    <row r="124" spans="1:13" x14ac:dyDescent="0.25">
      <c r="A124" s="390" t="s">
        <v>352</v>
      </c>
      <c r="B124" s="390"/>
      <c r="C124" s="390"/>
      <c r="D124" s="390"/>
      <c r="E124" s="390"/>
      <c r="F124" s="390"/>
      <c r="G124" s="391">
        <f>IF(K124&gt;=0,K124,L124)</f>
        <v>0</v>
      </c>
      <c r="H124" s="392"/>
      <c r="I124" s="137"/>
      <c r="J124" s="132">
        <f ca="1">SUM(J23:J122)</f>
        <v>0</v>
      </c>
      <c r="K124" s="132">
        <f>SUM(K23:K122)</f>
        <v>0</v>
      </c>
      <c r="L124" s="160">
        <f ca="1">IF(J124&gt;0,K124+MIN(J124,ABS(K124)),K124)</f>
        <v>0</v>
      </c>
    </row>
    <row r="125" spans="1:13" x14ac:dyDescent="0.25">
      <c r="A125" s="390" t="s">
        <v>353</v>
      </c>
      <c r="B125" s="390"/>
      <c r="C125" s="390"/>
      <c r="D125" s="390"/>
      <c r="E125" s="390"/>
      <c r="F125" s="390"/>
      <c r="G125" s="391">
        <f ca="1">IF(K124&gt;=0,J124,L125)</f>
        <v>0</v>
      </c>
      <c r="H125" s="392"/>
      <c r="I125" s="137"/>
      <c r="L125" s="160">
        <f ca="1">IF(J124&gt;0,J124-MIN(J124,ABS(K124)),J124)</f>
        <v>0</v>
      </c>
    </row>
    <row r="126" spans="1:13" x14ac:dyDescent="0.25">
      <c r="A126" s="384" t="str">
        <f>Copyright</f>
        <v>© 1997-2024, Nithyanand Yeswanth (taxcalc@ynithya.com)</v>
      </c>
      <c r="B126" s="385"/>
      <c r="C126" s="385"/>
      <c r="D126" s="385"/>
      <c r="E126" s="385"/>
      <c r="F126" s="385"/>
      <c r="G126" s="385"/>
      <c r="H126" s="385"/>
    </row>
    <row r="127" spans="1:13" x14ac:dyDescent="0.25">
      <c r="A127" s="161"/>
      <c r="B127" s="161"/>
      <c r="C127" s="161"/>
      <c r="D127" s="161"/>
      <c r="E127" s="161"/>
      <c r="F127" s="161"/>
      <c r="G127" s="161"/>
      <c r="H127" s="161"/>
    </row>
    <row r="128" spans="1:13" x14ac:dyDescent="0.25">
      <c r="A128" s="67" t="s">
        <v>173</v>
      </c>
      <c r="B128" s="67"/>
    </row>
    <row r="129" spans="1:8" x14ac:dyDescent="0.25">
      <c r="A129" s="386" t="s">
        <v>336</v>
      </c>
      <c r="B129" s="386"/>
      <c r="C129" s="387"/>
      <c r="D129" s="387"/>
      <c r="E129" s="387"/>
      <c r="F129" s="387"/>
      <c r="G129" s="387"/>
      <c r="H129" s="387"/>
    </row>
    <row r="130" spans="1:8" x14ac:dyDescent="0.25">
      <c r="A130" s="382" t="s">
        <v>344</v>
      </c>
      <c r="B130" s="382"/>
      <c r="C130" s="383"/>
      <c r="D130" s="383"/>
      <c r="E130" s="383"/>
      <c r="F130" s="383"/>
      <c r="G130" s="383"/>
      <c r="H130" s="383"/>
    </row>
    <row r="131" spans="1:8" x14ac:dyDescent="0.25">
      <c r="A131" s="382" t="s">
        <v>343</v>
      </c>
      <c r="B131" s="382"/>
      <c r="C131" s="383"/>
      <c r="D131" s="383"/>
      <c r="E131" s="383"/>
      <c r="F131" s="383"/>
      <c r="G131" s="383"/>
      <c r="H131" s="383"/>
    </row>
    <row r="132" spans="1:8" x14ac:dyDescent="0.25">
      <c r="A132" s="382" t="s">
        <v>342</v>
      </c>
      <c r="B132" s="382"/>
      <c r="C132" s="383"/>
      <c r="D132" s="383"/>
      <c r="E132" s="383"/>
      <c r="F132" s="383"/>
      <c r="G132" s="383"/>
      <c r="H132" s="383"/>
    </row>
    <row r="133" spans="1:8" x14ac:dyDescent="0.25">
      <c r="A133" s="382" t="s">
        <v>345</v>
      </c>
      <c r="B133" s="382"/>
      <c r="C133" s="383"/>
      <c r="D133" s="383"/>
      <c r="E133" s="383"/>
      <c r="F133" s="383"/>
      <c r="G133" s="383"/>
      <c r="H133" s="383"/>
    </row>
    <row r="134" spans="1:8" ht="12.75" customHeight="1" x14ac:dyDescent="0.25">
      <c r="A134" s="68"/>
      <c r="B134" s="68"/>
      <c r="C134" s="100"/>
      <c r="D134" s="100"/>
      <c r="E134" s="100"/>
      <c r="F134" s="101"/>
    </row>
    <row r="135" spans="1:8" hidden="1" x14ac:dyDescent="0.25">
      <c r="A135" s="68"/>
      <c r="B135" s="68"/>
      <c r="C135" s="100"/>
      <c r="D135" s="100"/>
      <c r="E135" s="100"/>
      <c r="F135" s="101"/>
    </row>
    <row r="136" spans="1:8" hidden="1" x14ac:dyDescent="0.25">
      <c r="A136" s="68"/>
      <c r="B136" s="68"/>
      <c r="C136" s="100"/>
      <c r="D136" s="100"/>
      <c r="E136" s="100"/>
      <c r="F136" s="101"/>
    </row>
    <row r="137" spans="1:8" hidden="1" x14ac:dyDescent="0.25">
      <c r="A137" s="68"/>
      <c r="B137" s="68"/>
      <c r="C137" s="100"/>
      <c r="D137" s="100"/>
      <c r="E137" s="100"/>
      <c r="F137" s="101"/>
    </row>
    <row r="138" spans="1:8" hidden="1" x14ac:dyDescent="0.25">
      <c r="A138" s="68"/>
      <c r="B138" s="68"/>
      <c r="C138" s="100"/>
      <c r="D138" s="100"/>
      <c r="E138" s="100"/>
      <c r="F138" s="101"/>
    </row>
    <row r="139" spans="1:8" hidden="1" x14ac:dyDescent="0.25">
      <c r="A139" s="68"/>
      <c r="B139" s="68"/>
      <c r="C139" s="100"/>
      <c r="D139" s="100"/>
      <c r="E139" s="100"/>
      <c r="F139" s="101"/>
    </row>
    <row r="140" spans="1:8" hidden="1" x14ac:dyDescent="0.25">
      <c r="A140" s="103"/>
      <c r="B140" s="103"/>
      <c r="C140" s="100"/>
      <c r="D140" s="100"/>
      <c r="E140" s="100"/>
      <c r="F140" s="101"/>
    </row>
    <row r="141" spans="1:8" hidden="1" x14ac:dyDescent="0.25">
      <c r="A141" s="103"/>
      <c r="B141" s="103"/>
      <c r="C141" s="100"/>
      <c r="D141" s="100"/>
      <c r="E141" s="100"/>
      <c r="F141" s="101"/>
    </row>
    <row r="142" spans="1:8" hidden="1" x14ac:dyDescent="0.25">
      <c r="A142" s="103"/>
      <c r="B142" s="103"/>
      <c r="C142" s="100"/>
      <c r="D142" s="100"/>
      <c r="E142" s="100"/>
      <c r="F142" s="101"/>
    </row>
    <row r="143" spans="1:8" hidden="1" x14ac:dyDescent="0.25">
      <c r="A143" s="103"/>
      <c r="B143" s="103"/>
      <c r="C143" s="100"/>
      <c r="D143" s="100"/>
      <c r="E143" s="100"/>
      <c r="F143" s="101"/>
    </row>
    <row r="144" spans="1:8" hidden="1" x14ac:dyDescent="0.25">
      <c r="A144" s="103"/>
      <c r="B144" s="103"/>
      <c r="C144" s="100"/>
      <c r="D144" s="100"/>
      <c r="E144" s="100"/>
    </row>
    <row r="145" spans="1:5" hidden="1" x14ac:dyDescent="0.25">
      <c r="A145" s="103"/>
      <c r="B145" s="103"/>
      <c r="C145" s="100"/>
      <c r="D145" s="100"/>
      <c r="E145" s="100"/>
    </row>
    <row r="146" spans="1:5" hidden="1" x14ac:dyDescent="0.25">
      <c r="A146" s="103"/>
      <c r="B146" s="103"/>
      <c r="C146" s="100"/>
      <c r="D146" s="100"/>
      <c r="E146" s="100"/>
    </row>
    <row r="147" spans="1:5" hidden="1" x14ac:dyDescent="0.25">
      <c r="A147" s="103"/>
      <c r="B147" s="103"/>
      <c r="C147" s="100"/>
      <c r="D147" s="100"/>
      <c r="E147" s="100"/>
    </row>
    <row r="148" spans="1:5" hidden="1" x14ac:dyDescent="0.25">
      <c r="A148" s="103"/>
      <c r="B148" s="103"/>
      <c r="C148" s="100"/>
      <c r="D148" s="100"/>
      <c r="E148" s="100"/>
    </row>
    <row r="149" spans="1:5" hidden="1" x14ac:dyDescent="0.25">
      <c r="A149" s="103"/>
      <c r="B149" s="103"/>
      <c r="C149" s="100"/>
      <c r="D149" s="100"/>
      <c r="E149" s="100"/>
    </row>
    <row r="150" spans="1:5" hidden="1" x14ac:dyDescent="0.25">
      <c r="A150" s="103"/>
      <c r="B150" s="103"/>
      <c r="C150" s="100"/>
      <c r="D150" s="100"/>
      <c r="E150" s="100"/>
    </row>
    <row r="151" spans="1:5" hidden="1" x14ac:dyDescent="0.25">
      <c r="A151" s="103"/>
      <c r="B151" s="103"/>
      <c r="C151" s="100"/>
      <c r="D151" s="100"/>
      <c r="E151" s="100"/>
    </row>
    <row r="152" spans="1:5" hidden="1" x14ac:dyDescent="0.25">
      <c r="A152" s="103"/>
      <c r="B152" s="103"/>
      <c r="C152" s="100"/>
      <c r="D152" s="100"/>
      <c r="E152" s="100"/>
    </row>
    <row r="153" spans="1:5" hidden="1" x14ac:dyDescent="0.25">
      <c r="A153" s="103"/>
      <c r="B153" s="103"/>
      <c r="C153" s="100"/>
      <c r="D153" s="100"/>
      <c r="E153" s="100"/>
    </row>
    <row r="154" spans="1:5" hidden="1" x14ac:dyDescent="0.25">
      <c r="A154" s="100"/>
      <c r="B154" s="100"/>
      <c r="C154" s="100"/>
      <c r="D154" s="100"/>
      <c r="E154" s="100"/>
    </row>
    <row r="155" spans="1:5" hidden="1" x14ac:dyDescent="0.25">
      <c r="A155" s="100"/>
      <c r="B155" s="100"/>
      <c r="C155" s="100"/>
      <c r="D155" s="100"/>
      <c r="E155" s="100"/>
    </row>
    <row r="156" spans="1:5" hidden="1" x14ac:dyDescent="0.25">
      <c r="A156" s="100"/>
      <c r="B156" s="100"/>
      <c r="C156" s="100"/>
      <c r="D156" s="100"/>
      <c r="E156" s="100"/>
    </row>
  </sheetData>
  <sheetProtection algorithmName="SHA-512" hashValue="CreYjjQF2o9oriGtAruO/+2mERiDM2JaWLxrFcK60WBGCPzpD+7Y3hCY94g0SeOljHbd5dL/Vt37y3iGCe7XWw==" saltValue="CtcHgs0hsD0NaP+CiYRzmA==" spinCount="100000" sheet="1" scenarios="1"/>
  <mergeCells count="37">
    <mergeCell ref="A11:B11"/>
    <mergeCell ref="A12:B12"/>
    <mergeCell ref="A1:H1"/>
    <mergeCell ref="A2:H2"/>
    <mergeCell ref="A3:H3"/>
    <mergeCell ref="A5:A6"/>
    <mergeCell ref="C5:D5"/>
    <mergeCell ref="E5:F5"/>
    <mergeCell ref="G5:G6"/>
    <mergeCell ref="H5:H6"/>
    <mergeCell ref="A7:B7"/>
    <mergeCell ref="A8:B8"/>
    <mergeCell ref="A9:B9"/>
    <mergeCell ref="A10:B10"/>
    <mergeCell ref="A129:H129"/>
    <mergeCell ref="A133:H133"/>
    <mergeCell ref="A14:F14"/>
    <mergeCell ref="G14:H14"/>
    <mergeCell ref="A15:F15"/>
    <mergeCell ref="G15:H15"/>
    <mergeCell ref="A130:H130"/>
    <mergeCell ref="A131:H131"/>
    <mergeCell ref="A132:H132"/>
    <mergeCell ref="A17:H17"/>
    <mergeCell ref="A18:H18"/>
    <mergeCell ref="A19:H19"/>
    <mergeCell ref="A21:A22"/>
    <mergeCell ref="C21:D21"/>
    <mergeCell ref="A125:F125"/>
    <mergeCell ref="G125:H125"/>
    <mergeCell ref="A126:H126"/>
    <mergeCell ref="E21:F21"/>
    <mergeCell ref="G21:G22"/>
    <mergeCell ref="H21:H22"/>
    <mergeCell ref="A124:F124"/>
    <mergeCell ref="G124:H124"/>
    <mergeCell ref="B21:B22"/>
  </mergeCells>
  <conditionalFormatting sqref="A1:B1">
    <cfRule type="cellIs" dxfId="6" priority="1" stopIfTrue="1" operator="equal">
      <formula>"PLEASE ENTER YOUR NAME HERE"</formula>
    </cfRule>
  </conditionalFormatting>
  <dataValidations count="4">
    <dataValidation type="date" allowBlank="1" showInputMessage="1" showErrorMessage="1" errorTitle="Invalid Date!" error="Purchase Date should not be beyond current financial year. Also dates before 1-Apr-2001 not allowed as base year for index is changed" sqref="D7:D12 D23:D122" xr:uid="{00000000-0002-0000-0500-000000000000}">
      <formula1>$O$7</formula1>
      <formula2>$O$6</formula2>
    </dataValidation>
    <dataValidation type="decimal" allowBlank="1" showInputMessage="1" showErrorMessage="1" errorTitle="Invalid Price!" error="Enter only positive numbers" sqref="C23:C122 C7:C12 E7:E12 E23:E122" xr:uid="{00000000-0002-0000-0500-000001000000}">
      <formula1>0</formula1>
      <formula2>100000000</formula2>
    </dataValidation>
    <dataValidation allowBlank="1" showErrorMessage="1" errorTitle="Invalid Input!" error="Please enter a positive number for loan amount!" sqref="A23:B122 A7:A12 G7:H12 G23:H122" xr:uid="{00000000-0002-0000-0500-000002000000}"/>
    <dataValidation type="date" allowBlank="1" showInputMessage="1" showErrorMessage="1" errorTitle="Invalid Date!" error="Selling Date should be after Purchase Date and within current financial year" sqref="F7:F12 F23:F122" xr:uid="{00000000-0002-0000-0500-000003000000}">
      <formula1>L7</formula1>
      <formula2>$O$6</formula2>
    </dataValidation>
  </dataValidations>
  <printOptions horizontalCentered="1"/>
  <pageMargins left="0.25" right="0.25" top="0.75" bottom="0.75" header="0.3" footer="0.3"/>
  <pageSetup paperSize="9" scale="93" fitToHeight="0" orientation="portrait" r:id="rId1"/>
  <headerFooter>
    <oddHeader>&amp;L&amp;"Verdana,Bold"&amp;D&amp;C&amp;"Verdana,Bold"Capital Gains Tax Calculation&amp;R&amp;"Verdana,Bold"Page &amp;P of &amp;N</oddHeader>
    <oddFooter>&amp;L&amp;"Tahoma,Regular"Free Download from http://taxcalc.ynithya.com/&amp;C&amp;"Tahoma,Regular"(Version 26.1)&amp;R&amp;"Tahoma,Regular"© 1997-2024, Nithyanand Yeswanth</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249977111117893"/>
    <pageSetUpPr fitToPage="1"/>
  </sheetPr>
  <dimension ref="A1:XFC98"/>
  <sheetViews>
    <sheetView showGridLines="0"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0" defaultRowHeight="12.75" zeroHeight="1" x14ac:dyDescent="0.25"/>
  <cols>
    <col min="1" max="1" width="7.83203125" customWidth="1"/>
    <col min="2" max="2" width="120.83203125" style="260" customWidth="1"/>
    <col min="3" max="3" width="0.33203125" customWidth="1"/>
    <col min="4" max="16383" width="9.33203125" hidden="1"/>
    <col min="16384" max="16384" width="0.1640625" hidden="1"/>
  </cols>
  <sheetData>
    <row r="1" spans="1:8" ht="30" customHeight="1" x14ac:dyDescent="0.25">
      <c r="A1" s="408" t="str">
        <f>Instructions!B7</f>
        <v>PLEASE ENTER YOUR NAME HERE</v>
      </c>
      <c r="B1" s="408"/>
      <c r="C1" s="89"/>
      <c r="D1" s="89"/>
      <c r="E1" s="89"/>
      <c r="F1" s="89"/>
      <c r="G1" s="89"/>
      <c r="H1" s="89"/>
    </row>
    <row r="2" spans="1:8" ht="18" customHeight="1" x14ac:dyDescent="0.25">
      <c r="A2" s="409" t="s">
        <v>428</v>
      </c>
      <c r="B2" s="410"/>
      <c r="C2" s="89"/>
      <c r="D2" s="89"/>
      <c r="E2" s="89"/>
      <c r="F2" s="89"/>
      <c r="G2" s="89"/>
      <c r="H2" s="89"/>
    </row>
    <row r="3" spans="1:8" x14ac:dyDescent="0.25">
      <c r="A3" s="411" t="s">
        <v>435</v>
      </c>
      <c r="B3" s="412"/>
    </row>
    <row r="4" spans="1:8" x14ac:dyDescent="0.25">
      <c r="A4" s="265"/>
      <c r="B4" s="266"/>
    </row>
    <row r="5" spans="1:8" x14ac:dyDescent="0.25">
      <c r="A5" s="219" t="s">
        <v>427</v>
      </c>
      <c r="B5" s="259" t="s">
        <v>428</v>
      </c>
    </row>
    <row r="6" spans="1:8" ht="39.950000000000003" customHeight="1" x14ac:dyDescent="0.25">
      <c r="A6" s="268" t="str">
        <f>IF(B6&lt;&gt;"",ROW()-5,"")</f>
        <v/>
      </c>
      <c r="B6" s="261"/>
    </row>
    <row r="7" spans="1:8" ht="39.950000000000003" customHeight="1" x14ac:dyDescent="0.25">
      <c r="A7" s="268" t="str">
        <f t="shared" ref="A7:A70" si="0">IF(B7&lt;&gt;"",ROW()-5,"")</f>
        <v/>
      </c>
      <c r="B7" s="261"/>
    </row>
    <row r="8" spans="1:8" ht="39.950000000000003" customHeight="1" x14ac:dyDescent="0.25">
      <c r="A8" s="268" t="str">
        <f t="shared" si="0"/>
        <v/>
      </c>
      <c r="B8" s="261"/>
    </row>
    <row r="9" spans="1:8" ht="39.950000000000003" customHeight="1" x14ac:dyDescent="0.25">
      <c r="A9" s="268" t="str">
        <f t="shared" si="0"/>
        <v/>
      </c>
      <c r="B9" s="261"/>
    </row>
    <row r="10" spans="1:8" ht="39.950000000000003" customHeight="1" x14ac:dyDescent="0.25">
      <c r="A10" s="268" t="str">
        <f t="shared" si="0"/>
        <v/>
      </c>
      <c r="B10" s="267"/>
    </row>
    <row r="11" spans="1:8" ht="39.950000000000003" customHeight="1" x14ac:dyDescent="0.25">
      <c r="A11" s="268" t="str">
        <f t="shared" si="0"/>
        <v/>
      </c>
      <c r="B11" s="261"/>
    </row>
    <row r="12" spans="1:8" ht="39.950000000000003" customHeight="1" x14ac:dyDescent="0.25">
      <c r="A12" s="268" t="str">
        <f t="shared" si="0"/>
        <v/>
      </c>
      <c r="B12" s="261"/>
    </row>
    <row r="13" spans="1:8" ht="39.950000000000003" customHeight="1" x14ac:dyDescent="0.25">
      <c r="A13" s="268" t="str">
        <f t="shared" si="0"/>
        <v/>
      </c>
      <c r="B13" s="261"/>
    </row>
    <row r="14" spans="1:8" ht="39.950000000000003" customHeight="1" x14ac:dyDescent="0.25">
      <c r="A14" s="268" t="str">
        <f t="shared" si="0"/>
        <v/>
      </c>
      <c r="B14" s="261"/>
    </row>
    <row r="15" spans="1:8" ht="39.950000000000003" customHeight="1" x14ac:dyDescent="0.25">
      <c r="A15" s="268" t="str">
        <f t="shared" si="0"/>
        <v/>
      </c>
      <c r="B15" s="261"/>
    </row>
    <row r="16" spans="1:8" ht="39.950000000000003" customHeight="1" x14ac:dyDescent="0.25">
      <c r="A16" s="268" t="str">
        <f t="shared" si="0"/>
        <v/>
      </c>
      <c r="B16" s="261"/>
    </row>
    <row r="17" spans="1:2" ht="39.950000000000003" customHeight="1" x14ac:dyDescent="0.25">
      <c r="A17" s="268" t="str">
        <f t="shared" si="0"/>
        <v/>
      </c>
      <c r="B17" s="261"/>
    </row>
    <row r="18" spans="1:2" ht="39.950000000000003" customHeight="1" x14ac:dyDescent="0.25">
      <c r="A18" s="268" t="str">
        <f t="shared" si="0"/>
        <v/>
      </c>
      <c r="B18" s="261"/>
    </row>
    <row r="19" spans="1:2" ht="39.950000000000003" customHeight="1" x14ac:dyDescent="0.25">
      <c r="A19" s="268" t="str">
        <f t="shared" si="0"/>
        <v/>
      </c>
      <c r="B19" s="261"/>
    </row>
    <row r="20" spans="1:2" ht="39.950000000000003" customHeight="1" x14ac:dyDescent="0.25">
      <c r="A20" s="268" t="str">
        <f t="shared" si="0"/>
        <v/>
      </c>
      <c r="B20" s="261"/>
    </row>
    <row r="21" spans="1:2" ht="39.950000000000003" customHeight="1" x14ac:dyDescent="0.25">
      <c r="A21" s="268" t="str">
        <f t="shared" si="0"/>
        <v/>
      </c>
      <c r="B21" s="261"/>
    </row>
    <row r="22" spans="1:2" ht="39.950000000000003" customHeight="1" x14ac:dyDescent="0.25">
      <c r="A22" s="268" t="str">
        <f t="shared" si="0"/>
        <v/>
      </c>
      <c r="B22" s="261"/>
    </row>
    <row r="23" spans="1:2" ht="39.950000000000003" customHeight="1" x14ac:dyDescent="0.25">
      <c r="A23" s="268" t="str">
        <f t="shared" si="0"/>
        <v/>
      </c>
      <c r="B23" s="261"/>
    </row>
    <row r="24" spans="1:2" ht="39.950000000000003" customHeight="1" x14ac:dyDescent="0.25">
      <c r="A24" s="268" t="str">
        <f t="shared" si="0"/>
        <v/>
      </c>
      <c r="B24" s="261"/>
    </row>
    <row r="25" spans="1:2" ht="39.950000000000003" customHeight="1" x14ac:dyDescent="0.25">
      <c r="A25" s="268" t="str">
        <f t="shared" si="0"/>
        <v/>
      </c>
      <c r="B25" s="261"/>
    </row>
    <row r="26" spans="1:2" ht="39.950000000000003" customHeight="1" x14ac:dyDescent="0.25">
      <c r="A26" s="268" t="str">
        <f t="shared" si="0"/>
        <v/>
      </c>
      <c r="B26" s="261"/>
    </row>
    <row r="27" spans="1:2" ht="39.950000000000003" customHeight="1" x14ac:dyDescent="0.25">
      <c r="A27" s="268" t="str">
        <f t="shared" si="0"/>
        <v/>
      </c>
      <c r="B27" s="261"/>
    </row>
    <row r="28" spans="1:2" ht="39.950000000000003" customHeight="1" x14ac:dyDescent="0.25">
      <c r="A28" s="268" t="str">
        <f t="shared" si="0"/>
        <v/>
      </c>
      <c r="B28" s="261"/>
    </row>
    <row r="29" spans="1:2" ht="39.950000000000003" customHeight="1" x14ac:dyDescent="0.25">
      <c r="A29" s="268" t="str">
        <f t="shared" si="0"/>
        <v/>
      </c>
      <c r="B29" s="261"/>
    </row>
    <row r="30" spans="1:2" ht="39.950000000000003" customHeight="1" x14ac:dyDescent="0.25">
      <c r="A30" s="268" t="str">
        <f t="shared" si="0"/>
        <v/>
      </c>
      <c r="B30" s="261"/>
    </row>
    <row r="31" spans="1:2" ht="39.950000000000003" customHeight="1" x14ac:dyDescent="0.25">
      <c r="A31" s="268" t="str">
        <f t="shared" si="0"/>
        <v/>
      </c>
      <c r="B31" s="261"/>
    </row>
    <row r="32" spans="1:2" ht="39.950000000000003" customHeight="1" x14ac:dyDescent="0.25">
      <c r="A32" s="268" t="str">
        <f t="shared" si="0"/>
        <v/>
      </c>
      <c r="B32" s="261"/>
    </row>
    <row r="33" spans="1:2" ht="39.950000000000003" customHeight="1" x14ac:dyDescent="0.25">
      <c r="A33" s="268" t="str">
        <f t="shared" si="0"/>
        <v/>
      </c>
      <c r="B33" s="261"/>
    </row>
    <row r="34" spans="1:2" ht="39.950000000000003" customHeight="1" x14ac:dyDescent="0.25">
      <c r="A34" s="268" t="str">
        <f t="shared" si="0"/>
        <v/>
      </c>
      <c r="B34" s="261"/>
    </row>
    <row r="35" spans="1:2" ht="39.950000000000003" customHeight="1" x14ac:dyDescent="0.25">
      <c r="A35" s="268" t="str">
        <f t="shared" si="0"/>
        <v/>
      </c>
      <c r="B35" s="261"/>
    </row>
    <row r="36" spans="1:2" ht="39.950000000000003" customHeight="1" x14ac:dyDescent="0.25">
      <c r="A36" s="268" t="str">
        <f t="shared" si="0"/>
        <v/>
      </c>
      <c r="B36" s="261"/>
    </row>
    <row r="37" spans="1:2" ht="39.950000000000003" customHeight="1" x14ac:dyDescent="0.25">
      <c r="A37" s="268" t="str">
        <f t="shared" si="0"/>
        <v/>
      </c>
      <c r="B37" s="261"/>
    </row>
    <row r="38" spans="1:2" ht="39.950000000000003" customHeight="1" x14ac:dyDescent="0.25">
      <c r="A38" s="268" t="str">
        <f t="shared" si="0"/>
        <v/>
      </c>
      <c r="B38" s="261"/>
    </row>
    <row r="39" spans="1:2" ht="39.950000000000003" customHeight="1" x14ac:dyDescent="0.25">
      <c r="A39" s="268" t="str">
        <f t="shared" si="0"/>
        <v/>
      </c>
      <c r="B39" s="261"/>
    </row>
    <row r="40" spans="1:2" ht="39.950000000000003" customHeight="1" x14ac:dyDescent="0.25">
      <c r="A40" s="268" t="str">
        <f t="shared" si="0"/>
        <v/>
      </c>
      <c r="B40" s="261"/>
    </row>
    <row r="41" spans="1:2" ht="39.950000000000003" customHeight="1" x14ac:dyDescent="0.25">
      <c r="A41" s="268" t="str">
        <f t="shared" si="0"/>
        <v/>
      </c>
      <c r="B41" s="261"/>
    </row>
    <row r="42" spans="1:2" ht="39.950000000000003" customHeight="1" x14ac:dyDescent="0.25">
      <c r="A42" s="268" t="str">
        <f t="shared" si="0"/>
        <v/>
      </c>
      <c r="B42" s="261"/>
    </row>
    <row r="43" spans="1:2" ht="39.950000000000003" customHeight="1" x14ac:dyDescent="0.25">
      <c r="A43" s="268" t="str">
        <f t="shared" si="0"/>
        <v/>
      </c>
      <c r="B43" s="261"/>
    </row>
    <row r="44" spans="1:2" ht="39.950000000000003" customHeight="1" x14ac:dyDescent="0.25">
      <c r="A44" s="268" t="str">
        <f t="shared" si="0"/>
        <v/>
      </c>
      <c r="B44" s="261"/>
    </row>
    <row r="45" spans="1:2" ht="39.950000000000003" customHeight="1" x14ac:dyDescent="0.25">
      <c r="A45" s="268" t="str">
        <f t="shared" si="0"/>
        <v/>
      </c>
      <c r="B45" s="261"/>
    </row>
    <row r="46" spans="1:2" ht="39.950000000000003" customHeight="1" x14ac:dyDescent="0.25">
      <c r="A46" s="268" t="str">
        <f t="shared" si="0"/>
        <v/>
      </c>
      <c r="B46" s="261"/>
    </row>
    <row r="47" spans="1:2" ht="39.950000000000003" customHeight="1" x14ac:dyDescent="0.25">
      <c r="A47" s="268" t="str">
        <f t="shared" si="0"/>
        <v/>
      </c>
      <c r="B47" s="261"/>
    </row>
    <row r="48" spans="1:2" ht="39.950000000000003" customHeight="1" x14ac:dyDescent="0.25">
      <c r="A48" s="268" t="str">
        <f t="shared" si="0"/>
        <v/>
      </c>
      <c r="B48" s="261"/>
    </row>
    <row r="49" spans="1:2" ht="39.950000000000003" customHeight="1" x14ac:dyDescent="0.25">
      <c r="A49" s="268" t="str">
        <f t="shared" si="0"/>
        <v/>
      </c>
      <c r="B49" s="261"/>
    </row>
    <row r="50" spans="1:2" ht="39.950000000000003" customHeight="1" x14ac:dyDescent="0.25">
      <c r="A50" s="268" t="str">
        <f t="shared" si="0"/>
        <v/>
      </c>
      <c r="B50" s="261"/>
    </row>
    <row r="51" spans="1:2" ht="39.950000000000003" customHeight="1" x14ac:dyDescent="0.25">
      <c r="A51" s="268" t="str">
        <f t="shared" si="0"/>
        <v/>
      </c>
      <c r="B51" s="261"/>
    </row>
    <row r="52" spans="1:2" ht="39.950000000000003" customHeight="1" x14ac:dyDescent="0.25">
      <c r="A52" s="268" t="str">
        <f t="shared" si="0"/>
        <v/>
      </c>
      <c r="B52" s="261"/>
    </row>
    <row r="53" spans="1:2" ht="39.950000000000003" customHeight="1" x14ac:dyDescent="0.25">
      <c r="A53" s="268" t="str">
        <f t="shared" si="0"/>
        <v/>
      </c>
      <c r="B53" s="261"/>
    </row>
    <row r="54" spans="1:2" ht="39.950000000000003" customHeight="1" x14ac:dyDescent="0.25">
      <c r="A54" s="268" t="str">
        <f t="shared" si="0"/>
        <v/>
      </c>
      <c r="B54" s="261"/>
    </row>
    <row r="55" spans="1:2" ht="39.950000000000003" customHeight="1" x14ac:dyDescent="0.25">
      <c r="A55" s="268" t="str">
        <f t="shared" si="0"/>
        <v/>
      </c>
      <c r="B55" s="261"/>
    </row>
    <row r="56" spans="1:2" ht="39.950000000000003" customHeight="1" x14ac:dyDescent="0.25">
      <c r="A56" s="268" t="str">
        <f t="shared" si="0"/>
        <v/>
      </c>
      <c r="B56" s="261"/>
    </row>
    <row r="57" spans="1:2" ht="39.950000000000003" customHeight="1" x14ac:dyDescent="0.25">
      <c r="A57" s="268" t="str">
        <f t="shared" si="0"/>
        <v/>
      </c>
      <c r="B57" s="261"/>
    </row>
    <row r="58" spans="1:2" ht="39.950000000000003" customHeight="1" x14ac:dyDescent="0.25">
      <c r="A58" s="268" t="str">
        <f t="shared" si="0"/>
        <v/>
      </c>
      <c r="B58" s="261"/>
    </row>
    <row r="59" spans="1:2" ht="39.950000000000003" customHeight="1" x14ac:dyDescent="0.25">
      <c r="A59" s="268" t="str">
        <f t="shared" si="0"/>
        <v/>
      </c>
      <c r="B59" s="261"/>
    </row>
    <row r="60" spans="1:2" ht="39.950000000000003" customHeight="1" x14ac:dyDescent="0.25">
      <c r="A60" s="268" t="str">
        <f t="shared" si="0"/>
        <v/>
      </c>
      <c r="B60" s="261"/>
    </row>
    <row r="61" spans="1:2" ht="39.950000000000003" customHeight="1" x14ac:dyDescent="0.25">
      <c r="A61" s="268" t="str">
        <f t="shared" si="0"/>
        <v/>
      </c>
      <c r="B61" s="261"/>
    </row>
    <row r="62" spans="1:2" ht="39.950000000000003" customHeight="1" x14ac:dyDescent="0.25">
      <c r="A62" s="268" t="str">
        <f t="shared" si="0"/>
        <v/>
      </c>
      <c r="B62" s="261"/>
    </row>
    <row r="63" spans="1:2" ht="39.950000000000003" customHeight="1" x14ac:dyDescent="0.25">
      <c r="A63" s="268" t="str">
        <f t="shared" si="0"/>
        <v/>
      </c>
      <c r="B63" s="261"/>
    </row>
    <row r="64" spans="1:2" ht="39.950000000000003" customHeight="1" x14ac:dyDescent="0.25">
      <c r="A64" s="268" t="str">
        <f t="shared" si="0"/>
        <v/>
      </c>
      <c r="B64" s="261"/>
    </row>
    <row r="65" spans="1:2" ht="39.950000000000003" customHeight="1" x14ac:dyDescent="0.25">
      <c r="A65" s="268" t="str">
        <f t="shared" si="0"/>
        <v/>
      </c>
      <c r="B65" s="261"/>
    </row>
    <row r="66" spans="1:2" ht="39.950000000000003" customHeight="1" x14ac:dyDescent="0.25">
      <c r="A66" s="268" t="str">
        <f t="shared" si="0"/>
        <v/>
      </c>
      <c r="B66" s="261"/>
    </row>
    <row r="67" spans="1:2" ht="39.950000000000003" customHeight="1" x14ac:dyDescent="0.25">
      <c r="A67" s="268" t="str">
        <f t="shared" si="0"/>
        <v/>
      </c>
      <c r="B67" s="261"/>
    </row>
    <row r="68" spans="1:2" ht="39.950000000000003" customHeight="1" x14ac:dyDescent="0.25">
      <c r="A68" s="268" t="str">
        <f t="shared" si="0"/>
        <v/>
      </c>
      <c r="B68" s="261"/>
    </row>
    <row r="69" spans="1:2" ht="39.950000000000003" customHeight="1" x14ac:dyDescent="0.25">
      <c r="A69" s="268" t="str">
        <f t="shared" si="0"/>
        <v/>
      </c>
      <c r="B69" s="261"/>
    </row>
    <row r="70" spans="1:2" ht="39.950000000000003" customHeight="1" x14ac:dyDescent="0.25">
      <c r="A70" s="268" t="str">
        <f t="shared" si="0"/>
        <v/>
      </c>
      <c r="B70" s="261"/>
    </row>
    <row r="71" spans="1:2" ht="39.950000000000003" customHeight="1" x14ac:dyDescent="0.25">
      <c r="A71" s="268" t="str">
        <f t="shared" ref="A71:A97" si="1">IF(B71&lt;&gt;"",ROW()-5,"")</f>
        <v/>
      </c>
      <c r="B71" s="261"/>
    </row>
    <row r="72" spans="1:2" ht="39.950000000000003" customHeight="1" x14ac:dyDescent="0.25">
      <c r="A72" s="268" t="str">
        <f t="shared" si="1"/>
        <v/>
      </c>
      <c r="B72" s="261"/>
    </row>
    <row r="73" spans="1:2" ht="39.950000000000003" customHeight="1" x14ac:dyDescent="0.25">
      <c r="A73" s="268" t="str">
        <f t="shared" si="1"/>
        <v/>
      </c>
      <c r="B73" s="261"/>
    </row>
    <row r="74" spans="1:2" ht="39.950000000000003" customHeight="1" x14ac:dyDescent="0.25">
      <c r="A74" s="268" t="str">
        <f t="shared" si="1"/>
        <v/>
      </c>
      <c r="B74" s="261"/>
    </row>
    <row r="75" spans="1:2" ht="39.950000000000003" customHeight="1" x14ac:dyDescent="0.25">
      <c r="A75" s="268" t="str">
        <f t="shared" si="1"/>
        <v/>
      </c>
      <c r="B75" s="261"/>
    </row>
    <row r="76" spans="1:2" ht="39.950000000000003" customHeight="1" x14ac:dyDescent="0.25">
      <c r="A76" s="268" t="str">
        <f t="shared" si="1"/>
        <v/>
      </c>
      <c r="B76" s="261"/>
    </row>
    <row r="77" spans="1:2" ht="39.950000000000003" customHeight="1" x14ac:dyDescent="0.25">
      <c r="A77" s="268" t="str">
        <f t="shared" si="1"/>
        <v/>
      </c>
      <c r="B77" s="261"/>
    </row>
    <row r="78" spans="1:2" ht="39.950000000000003" customHeight="1" x14ac:dyDescent="0.25">
      <c r="A78" s="268" t="str">
        <f t="shared" si="1"/>
        <v/>
      </c>
      <c r="B78" s="261"/>
    </row>
    <row r="79" spans="1:2" ht="39.950000000000003" customHeight="1" x14ac:dyDescent="0.25">
      <c r="A79" s="268" t="str">
        <f t="shared" si="1"/>
        <v/>
      </c>
      <c r="B79" s="261"/>
    </row>
    <row r="80" spans="1:2" ht="39.950000000000003" customHeight="1" x14ac:dyDescent="0.25">
      <c r="A80" s="268" t="str">
        <f t="shared" si="1"/>
        <v/>
      </c>
      <c r="B80" s="261"/>
    </row>
    <row r="81" spans="1:2" ht="39.950000000000003" customHeight="1" x14ac:dyDescent="0.25">
      <c r="A81" s="268" t="str">
        <f t="shared" si="1"/>
        <v/>
      </c>
      <c r="B81" s="261"/>
    </row>
    <row r="82" spans="1:2" ht="39.950000000000003" customHeight="1" x14ac:dyDescent="0.25">
      <c r="A82" s="268" t="str">
        <f t="shared" si="1"/>
        <v/>
      </c>
      <c r="B82" s="261"/>
    </row>
    <row r="83" spans="1:2" ht="39.950000000000003" customHeight="1" x14ac:dyDescent="0.25">
      <c r="A83" s="268" t="str">
        <f t="shared" si="1"/>
        <v/>
      </c>
      <c r="B83" s="261"/>
    </row>
    <row r="84" spans="1:2" ht="39.950000000000003" customHeight="1" x14ac:dyDescent="0.25">
      <c r="A84" s="268" t="str">
        <f t="shared" si="1"/>
        <v/>
      </c>
      <c r="B84" s="261"/>
    </row>
    <row r="85" spans="1:2" ht="39.950000000000003" customHeight="1" x14ac:dyDescent="0.25">
      <c r="A85" s="268" t="str">
        <f t="shared" si="1"/>
        <v/>
      </c>
      <c r="B85" s="261"/>
    </row>
    <row r="86" spans="1:2" ht="39.950000000000003" customHeight="1" x14ac:dyDescent="0.25">
      <c r="A86" s="268" t="str">
        <f t="shared" si="1"/>
        <v/>
      </c>
      <c r="B86" s="261"/>
    </row>
    <row r="87" spans="1:2" ht="39.950000000000003" customHeight="1" x14ac:dyDescent="0.25">
      <c r="A87" s="268" t="str">
        <f t="shared" si="1"/>
        <v/>
      </c>
      <c r="B87" s="261"/>
    </row>
    <row r="88" spans="1:2" ht="39.950000000000003" customHeight="1" x14ac:dyDescent="0.25">
      <c r="A88" s="268" t="str">
        <f t="shared" si="1"/>
        <v/>
      </c>
      <c r="B88" s="261"/>
    </row>
    <row r="89" spans="1:2" ht="39.950000000000003" customHeight="1" x14ac:dyDescent="0.25">
      <c r="A89" s="268" t="str">
        <f t="shared" si="1"/>
        <v/>
      </c>
      <c r="B89" s="261"/>
    </row>
    <row r="90" spans="1:2" ht="39.950000000000003" customHeight="1" x14ac:dyDescent="0.25">
      <c r="A90" s="268" t="str">
        <f t="shared" si="1"/>
        <v/>
      </c>
      <c r="B90" s="261"/>
    </row>
    <row r="91" spans="1:2" ht="39.950000000000003" customHeight="1" x14ac:dyDescent="0.25">
      <c r="A91" s="268" t="str">
        <f t="shared" si="1"/>
        <v/>
      </c>
      <c r="B91" s="261"/>
    </row>
    <row r="92" spans="1:2" ht="39.950000000000003" customHeight="1" x14ac:dyDescent="0.25">
      <c r="A92" s="268" t="str">
        <f t="shared" si="1"/>
        <v/>
      </c>
      <c r="B92" s="261"/>
    </row>
    <row r="93" spans="1:2" ht="39.950000000000003" customHeight="1" x14ac:dyDescent="0.25">
      <c r="A93" s="268" t="str">
        <f t="shared" si="1"/>
        <v/>
      </c>
      <c r="B93" s="261"/>
    </row>
    <row r="94" spans="1:2" ht="39.950000000000003" customHeight="1" x14ac:dyDescent="0.25">
      <c r="A94" s="268" t="str">
        <f t="shared" si="1"/>
        <v/>
      </c>
      <c r="B94" s="261"/>
    </row>
    <row r="95" spans="1:2" ht="39.950000000000003" customHeight="1" x14ac:dyDescent="0.25">
      <c r="A95" s="268" t="str">
        <f t="shared" si="1"/>
        <v/>
      </c>
      <c r="B95" s="261"/>
    </row>
    <row r="96" spans="1:2" ht="39.950000000000003" customHeight="1" x14ac:dyDescent="0.25">
      <c r="A96" s="268" t="str">
        <f t="shared" si="1"/>
        <v/>
      </c>
      <c r="B96" s="261"/>
    </row>
    <row r="97" spans="1:2" ht="39.950000000000003" customHeight="1" x14ac:dyDescent="0.25">
      <c r="A97" s="268" t="str">
        <f t="shared" si="1"/>
        <v/>
      </c>
      <c r="B97" s="261"/>
    </row>
    <row r="98" spans="1:2" x14ac:dyDescent="0.25">
      <c r="A98" s="407" t="str">
        <f>Copyright</f>
        <v>© 1997-2024, Nithyanand Yeswanth (taxcalc@ynithya.com)</v>
      </c>
      <c r="B98" s="407"/>
    </row>
  </sheetData>
  <sheetProtection algorithmName="SHA-512" hashValue="Ludn14xTe2Jk/5t8uuz4sL1K2zZ9jI+DcsMtOEEYLfNfZrl5ScsD64yYdyn56GczEci0ihceaIzg+Fdx0ZIpAA==" saltValue="Q1ILyPE2cldojH/BvbslcQ==" spinCount="100000" sheet="1" scenarios="1"/>
  <mergeCells count="4">
    <mergeCell ref="A98:B98"/>
    <mergeCell ref="A1:B1"/>
    <mergeCell ref="A2:B2"/>
    <mergeCell ref="A3:B3"/>
  </mergeCells>
  <conditionalFormatting sqref="A1 C2:D2">
    <cfRule type="cellIs" dxfId="5" priority="1" stopIfTrue="1" operator="equal">
      <formula>"PLEASE ENTER YOUR NAME HERE"</formula>
    </cfRule>
  </conditionalFormatting>
  <printOptions horizontalCentered="1"/>
  <pageMargins left="0.25" right="0.25" top="0.75" bottom="0.75" header="0.3" footer="0.3"/>
  <pageSetup paperSize="9" scale="92" fitToHeight="0" orientation="portrait" r:id="rId1"/>
  <headerFooter>
    <oddHeader>&amp;L&amp;"Verdana,Bold"&amp;D&amp;C&amp;"Verdana,Bold"Income Tax Calculator - Notes&amp;R&amp;"Verdana,Bold"Page &amp;P of &amp;N</oddHeader>
    <oddFooter>&amp;L&amp;"Verdana,Bold"Free Download from http://taxcalc.ynithya.com/&amp;C&amp;"Verdana,Bold"(version 26.1)&amp;R&amp;"Verdana,Bold"© 1997-2024, Nithyanand Yeswanth</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7"/>
  <sheetViews>
    <sheetView workbookViewId="0">
      <selection activeCell="A25" sqref="A25"/>
    </sheetView>
  </sheetViews>
  <sheetFormatPr defaultRowHeight="12.75" x14ac:dyDescent="0.25"/>
  <cols>
    <col min="1" max="1" width="17.5" style="148" customWidth="1"/>
    <col min="2" max="2" width="15.1640625" style="148" customWidth="1"/>
    <col min="3" max="16384" width="9.33203125" style="148"/>
  </cols>
  <sheetData>
    <row r="1" spans="1:12" x14ac:dyDescent="0.25">
      <c r="A1" s="227" t="s">
        <v>274</v>
      </c>
      <c r="B1" s="227" t="s">
        <v>333</v>
      </c>
      <c r="C1" s="227" t="s">
        <v>375</v>
      </c>
      <c r="J1" s="148" t="s">
        <v>274</v>
      </c>
      <c r="K1" s="148" t="s">
        <v>333</v>
      </c>
      <c r="L1" s="148" t="s">
        <v>375</v>
      </c>
    </row>
    <row r="2" spans="1:12" x14ac:dyDescent="0.25">
      <c r="A2" s="149" t="s">
        <v>293</v>
      </c>
      <c r="B2" s="149" t="str">
        <f t="shared" ref="B2:B17" si="0">LEFT(A2,4)</f>
        <v>2001</v>
      </c>
      <c r="C2" s="149">
        <v>100</v>
      </c>
      <c r="J2" s="148" t="s">
        <v>275</v>
      </c>
      <c r="K2" s="148" t="s">
        <v>386</v>
      </c>
      <c r="L2" s="148">
        <v>100</v>
      </c>
    </row>
    <row r="3" spans="1:12" x14ac:dyDescent="0.25">
      <c r="A3" s="149" t="s">
        <v>294</v>
      </c>
      <c r="B3" s="149" t="str">
        <f t="shared" si="0"/>
        <v>2002</v>
      </c>
      <c r="C3" s="149">
        <v>105</v>
      </c>
      <c r="J3" s="148" t="s">
        <v>276</v>
      </c>
      <c r="K3" s="148" t="s">
        <v>387</v>
      </c>
      <c r="L3" s="148">
        <v>109</v>
      </c>
    </row>
    <row r="4" spans="1:12" x14ac:dyDescent="0.25">
      <c r="A4" s="149" t="s">
        <v>295</v>
      </c>
      <c r="B4" s="149" t="str">
        <f t="shared" si="0"/>
        <v>2003</v>
      </c>
      <c r="C4" s="149">
        <v>109</v>
      </c>
      <c r="J4" s="148" t="s">
        <v>277</v>
      </c>
      <c r="K4" s="148" t="s">
        <v>388</v>
      </c>
      <c r="L4" s="148">
        <v>116</v>
      </c>
    </row>
    <row r="5" spans="1:12" x14ac:dyDescent="0.25">
      <c r="A5" s="149" t="s">
        <v>296</v>
      </c>
      <c r="B5" s="149" t="str">
        <f t="shared" si="0"/>
        <v>2004</v>
      </c>
      <c r="C5" s="149">
        <v>113</v>
      </c>
      <c r="J5" s="148" t="s">
        <v>278</v>
      </c>
      <c r="K5" s="148" t="s">
        <v>389</v>
      </c>
      <c r="L5" s="148">
        <v>125</v>
      </c>
    </row>
    <row r="6" spans="1:12" x14ac:dyDescent="0.25">
      <c r="A6" s="149" t="s">
        <v>297</v>
      </c>
      <c r="B6" s="149" t="str">
        <f t="shared" si="0"/>
        <v>2005</v>
      </c>
      <c r="C6" s="149">
        <v>117</v>
      </c>
      <c r="J6" s="148" t="s">
        <v>279</v>
      </c>
      <c r="K6" s="148" t="s">
        <v>390</v>
      </c>
      <c r="L6" s="148">
        <v>133</v>
      </c>
    </row>
    <row r="7" spans="1:12" x14ac:dyDescent="0.25">
      <c r="A7" s="149" t="s">
        <v>298</v>
      </c>
      <c r="B7" s="149" t="str">
        <f t="shared" si="0"/>
        <v>2006</v>
      </c>
      <c r="C7" s="149">
        <v>122</v>
      </c>
      <c r="J7" s="148" t="s">
        <v>280</v>
      </c>
      <c r="K7" s="148" t="s">
        <v>391</v>
      </c>
      <c r="L7" s="148">
        <v>140</v>
      </c>
    </row>
    <row r="8" spans="1:12" x14ac:dyDescent="0.25">
      <c r="A8" s="149" t="s">
        <v>299</v>
      </c>
      <c r="B8" s="149" t="str">
        <f t="shared" si="0"/>
        <v>2007</v>
      </c>
      <c r="C8" s="149">
        <v>129</v>
      </c>
      <c r="E8" s="310"/>
      <c r="J8" s="148" t="s">
        <v>281</v>
      </c>
      <c r="K8" s="148" t="s">
        <v>392</v>
      </c>
      <c r="L8" s="148">
        <v>150</v>
      </c>
    </row>
    <row r="9" spans="1:12" x14ac:dyDescent="0.25">
      <c r="A9" s="149" t="s">
        <v>300</v>
      </c>
      <c r="B9" s="149" t="str">
        <f t="shared" si="0"/>
        <v>2008</v>
      </c>
      <c r="C9" s="149">
        <v>137</v>
      </c>
      <c r="E9" s="310"/>
      <c r="J9" s="148" t="s">
        <v>282</v>
      </c>
      <c r="K9" s="148" t="s">
        <v>393</v>
      </c>
      <c r="L9" s="148">
        <v>161</v>
      </c>
    </row>
    <row r="10" spans="1:12" x14ac:dyDescent="0.25">
      <c r="A10" s="149" t="s">
        <v>301</v>
      </c>
      <c r="B10" s="149" t="str">
        <f t="shared" si="0"/>
        <v>2009</v>
      </c>
      <c r="C10" s="149">
        <v>148</v>
      </c>
      <c r="E10" s="310"/>
      <c r="J10" s="148" t="s">
        <v>283</v>
      </c>
      <c r="K10" s="148" t="s">
        <v>394</v>
      </c>
      <c r="L10" s="148">
        <v>172</v>
      </c>
    </row>
    <row r="11" spans="1:12" x14ac:dyDescent="0.25">
      <c r="A11" s="149" t="s">
        <v>302</v>
      </c>
      <c r="B11" s="149" t="str">
        <f t="shared" si="0"/>
        <v>2010</v>
      </c>
      <c r="C11" s="149">
        <v>167</v>
      </c>
      <c r="E11" s="310"/>
      <c r="J11" s="148" t="s">
        <v>284</v>
      </c>
      <c r="K11" s="148" t="s">
        <v>395</v>
      </c>
      <c r="L11" s="148">
        <v>182</v>
      </c>
    </row>
    <row r="12" spans="1:12" x14ac:dyDescent="0.25">
      <c r="A12" s="149" t="s">
        <v>303</v>
      </c>
      <c r="B12" s="149" t="str">
        <f t="shared" si="0"/>
        <v>2011</v>
      </c>
      <c r="C12" s="149">
        <v>184</v>
      </c>
      <c r="E12" s="310"/>
      <c r="J12" s="148" t="s">
        <v>285</v>
      </c>
      <c r="K12" s="148" t="s">
        <v>396</v>
      </c>
      <c r="L12" s="148">
        <v>199</v>
      </c>
    </row>
    <row r="13" spans="1:12" x14ac:dyDescent="0.25">
      <c r="A13" s="149" t="s">
        <v>304</v>
      </c>
      <c r="B13" s="149" t="str">
        <f t="shared" si="0"/>
        <v>2012</v>
      </c>
      <c r="C13" s="149">
        <v>200</v>
      </c>
      <c r="E13" s="310"/>
      <c r="J13" s="148" t="s">
        <v>286</v>
      </c>
      <c r="K13" s="148" t="s">
        <v>397</v>
      </c>
      <c r="L13" s="148">
        <v>223</v>
      </c>
    </row>
    <row r="14" spans="1:12" x14ac:dyDescent="0.25">
      <c r="A14" s="149" t="s">
        <v>307</v>
      </c>
      <c r="B14" s="149" t="str">
        <f t="shared" si="0"/>
        <v>2013</v>
      </c>
      <c r="C14" s="149">
        <v>220</v>
      </c>
      <c r="E14" s="310"/>
      <c r="J14" s="148" t="s">
        <v>287</v>
      </c>
      <c r="K14" s="148" t="s">
        <v>398</v>
      </c>
      <c r="L14" s="148">
        <v>244</v>
      </c>
    </row>
    <row r="15" spans="1:12" x14ac:dyDescent="0.25">
      <c r="A15" s="149" t="s">
        <v>332</v>
      </c>
      <c r="B15" s="149" t="str">
        <f t="shared" si="0"/>
        <v>2014</v>
      </c>
      <c r="C15" s="149">
        <v>240</v>
      </c>
      <c r="E15" s="310"/>
      <c r="J15" s="148" t="s">
        <v>288</v>
      </c>
      <c r="K15" s="148" t="s">
        <v>399</v>
      </c>
      <c r="L15" s="148">
        <v>259</v>
      </c>
    </row>
    <row r="16" spans="1:12" x14ac:dyDescent="0.25">
      <c r="A16" s="149" t="s">
        <v>366</v>
      </c>
      <c r="B16" s="149" t="str">
        <f t="shared" si="0"/>
        <v>2015</v>
      </c>
      <c r="C16" s="149">
        <v>254</v>
      </c>
      <c r="E16" s="310"/>
      <c r="J16" s="148" t="s">
        <v>289</v>
      </c>
      <c r="K16" s="148" t="s">
        <v>400</v>
      </c>
      <c r="L16" s="148">
        <v>281</v>
      </c>
    </row>
    <row r="17" spans="1:12" x14ac:dyDescent="0.25">
      <c r="A17" s="149" t="s">
        <v>373</v>
      </c>
      <c r="B17" s="149" t="str">
        <f t="shared" si="0"/>
        <v>2016</v>
      </c>
      <c r="C17" s="149">
        <v>264</v>
      </c>
      <c r="E17" s="310"/>
      <c r="J17" s="148" t="s">
        <v>290</v>
      </c>
      <c r="K17" s="148" t="s">
        <v>401</v>
      </c>
      <c r="L17" s="148">
        <v>305</v>
      </c>
    </row>
    <row r="18" spans="1:12" x14ac:dyDescent="0.25">
      <c r="A18" s="149" t="s">
        <v>422</v>
      </c>
      <c r="B18" s="149" t="str">
        <f t="shared" ref="B18:B23" si="1">LEFT(A18,4)</f>
        <v>2017</v>
      </c>
      <c r="C18" s="149">
        <v>272</v>
      </c>
      <c r="E18" s="310"/>
      <c r="J18" s="148" t="s">
        <v>291</v>
      </c>
      <c r="K18" s="148" t="s">
        <v>402</v>
      </c>
      <c r="L18" s="148">
        <v>331</v>
      </c>
    </row>
    <row r="19" spans="1:12" x14ac:dyDescent="0.25">
      <c r="A19" s="271" t="s">
        <v>444</v>
      </c>
      <c r="B19" s="271" t="str">
        <f t="shared" si="1"/>
        <v>2018</v>
      </c>
      <c r="C19" s="271">
        <v>280</v>
      </c>
      <c r="E19" s="310"/>
      <c r="J19" s="148" t="s">
        <v>292</v>
      </c>
      <c r="K19" s="148" t="s">
        <v>403</v>
      </c>
      <c r="L19" s="148">
        <v>351</v>
      </c>
    </row>
    <row r="20" spans="1:12" x14ac:dyDescent="0.25">
      <c r="A20" s="295" t="s">
        <v>489</v>
      </c>
      <c r="B20" s="295" t="str">
        <f t="shared" si="1"/>
        <v>2019</v>
      </c>
      <c r="C20" s="295">
        <v>289</v>
      </c>
      <c r="E20" s="310"/>
      <c r="J20" s="148" t="s">
        <v>305</v>
      </c>
      <c r="K20" s="148" t="s">
        <v>404</v>
      </c>
      <c r="L20" s="148">
        <v>389</v>
      </c>
    </row>
    <row r="21" spans="1:12" x14ac:dyDescent="0.25">
      <c r="A21" s="297" t="s">
        <v>500</v>
      </c>
      <c r="B21" s="297" t="str">
        <f t="shared" si="1"/>
        <v>2020</v>
      </c>
      <c r="C21" s="297">
        <v>301</v>
      </c>
      <c r="E21" s="310"/>
      <c r="J21" s="148" t="s">
        <v>306</v>
      </c>
      <c r="K21" s="148" t="s">
        <v>405</v>
      </c>
      <c r="L21" s="148">
        <v>406</v>
      </c>
    </row>
    <row r="22" spans="1:12" x14ac:dyDescent="0.25">
      <c r="A22" s="305" t="s">
        <v>541</v>
      </c>
      <c r="B22" s="305" t="str">
        <f t="shared" si="1"/>
        <v>2021</v>
      </c>
      <c r="C22" s="305">
        <v>317</v>
      </c>
      <c r="E22" s="310"/>
      <c r="J22" s="148" t="s">
        <v>293</v>
      </c>
      <c r="K22" s="148" t="s">
        <v>406</v>
      </c>
      <c r="L22" s="148">
        <v>426</v>
      </c>
    </row>
    <row r="23" spans="1:12" x14ac:dyDescent="0.25">
      <c r="A23" s="308" t="s">
        <v>559</v>
      </c>
      <c r="B23" s="308" t="str">
        <f t="shared" si="1"/>
        <v>2022</v>
      </c>
      <c r="C23" s="308">
        <v>331</v>
      </c>
      <c r="E23" s="310"/>
      <c r="J23" s="148" t="s">
        <v>294</v>
      </c>
      <c r="K23" s="148" t="s">
        <v>407</v>
      </c>
      <c r="L23" s="148">
        <v>447</v>
      </c>
    </row>
    <row r="24" spans="1:12" x14ac:dyDescent="0.25">
      <c r="A24" s="309" t="s">
        <v>581</v>
      </c>
      <c r="B24" s="309" t="str">
        <f>LEFT(A24,4)</f>
        <v>2023</v>
      </c>
      <c r="C24" s="309">
        <v>348</v>
      </c>
      <c r="E24" s="310"/>
      <c r="J24" s="148" t="s">
        <v>295</v>
      </c>
      <c r="K24" s="148" t="s">
        <v>408</v>
      </c>
      <c r="L24" s="148">
        <v>463</v>
      </c>
    </row>
    <row r="25" spans="1:12" x14ac:dyDescent="0.25">
      <c r="J25" s="148" t="s">
        <v>296</v>
      </c>
      <c r="K25" s="148" t="s">
        <v>409</v>
      </c>
      <c r="L25" s="148">
        <v>480</v>
      </c>
    </row>
    <row r="26" spans="1:12" x14ac:dyDescent="0.25">
      <c r="J26" s="148" t="s">
        <v>297</v>
      </c>
      <c r="K26" s="148" t="s">
        <v>410</v>
      </c>
      <c r="L26" s="148">
        <v>497</v>
      </c>
    </row>
    <row r="27" spans="1:12" x14ac:dyDescent="0.25">
      <c r="J27" s="148" t="s">
        <v>298</v>
      </c>
      <c r="K27" s="148" t="s">
        <v>411</v>
      </c>
      <c r="L27" s="148">
        <v>519</v>
      </c>
    </row>
    <row r="28" spans="1:12" x14ac:dyDescent="0.25">
      <c r="J28" s="148" t="s">
        <v>299</v>
      </c>
      <c r="K28" s="148" t="s">
        <v>412</v>
      </c>
      <c r="L28" s="148">
        <v>551</v>
      </c>
    </row>
    <row r="29" spans="1:12" x14ac:dyDescent="0.25">
      <c r="J29" s="148" t="s">
        <v>300</v>
      </c>
      <c r="K29" s="148" t="s">
        <v>413</v>
      </c>
      <c r="L29" s="148">
        <v>582</v>
      </c>
    </row>
    <row r="30" spans="1:12" x14ac:dyDescent="0.25">
      <c r="J30" s="148" t="s">
        <v>301</v>
      </c>
      <c r="K30" s="148" t="s">
        <v>414</v>
      </c>
      <c r="L30" s="148">
        <v>632</v>
      </c>
    </row>
    <row r="31" spans="1:12" x14ac:dyDescent="0.25">
      <c r="J31" s="148" t="s">
        <v>302</v>
      </c>
      <c r="K31" s="148" t="s">
        <v>415</v>
      </c>
      <c r="L31" s="148">
        <v>711</v>
      </c>
    </row>
    <row r="32" spans="1:12" x14ac:dyDescent="0.25">
      <c r="J32" s="148" t="s">
        <v>303</v>
      </c>
      <c r="K32" s="148" t="s">
        <v>416</v>
      </c>
      <c r="L32" s="148">
        <v>785</v>
      </c>
    </row>
    <row r="33" spans="10:12" x14ac:dyDescent="0.25">
      <c r="J33" s="148" t="s">
        <v>304</v>
      </c>
      <c r="K33" s="148" t="s">
        <v>417</v>
      </c>
      <c r="L33" s="148">
        <v>852</v>
      </c>
    </row>
    <row r="34" spans="10:12" x14ac:dyDescent="0.25">
      <c r="J34" s="148" t="s">
        <v>307</v>
      </c>
      <c r="K34" s="148" t="s">
        <v>418</v>
      </c>
      <c r="L34" s="148">
        <v>939</v>
      </c>
    </row>
    <row r="35" spans="10:12" x14ac:dyDescent="0.25">
      <c r="J35" s="148" t="s">
        <v>332</v>
      </c>
      <c r="K35" s="148" t="s">
        <v>419</v>
      </c>
      <c r="L35" s="148">
        <v>1024</v>
      </c>
    </row>
    <row r="36" spans="10:12" x14ac:dyDescent="0.25">
      <c r="J36" s="148" t="s">
        <v>366</v>
      </c>
      <c r="K36" s="148" t="s">
        <v>420</v>
      </c>
      <c r="L36" s="148">
        <v>1081</v>
      </c>
    </row>
    <row r="37" spans="10:12" x14ac:dyDescent="0.25">
      <c r="J37" s="148" t="s">
        <v>373</v>
      </c>
      <c r="K37" s="148" t="s">
        <v>421</v>
      </c>
      <c r="L37" s="148">
        <v>1125</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68F06F8722FB947AF97A0765935A78C" ma:contentTypeVersion="11" ma:contentTypeDescription="Create a new document." ma:contentTypeScope="" ma:versionID="3b509896ac17b551f344d6d7c665d730">
  <xsd:schema xmlns:xsd="http://www.w3.org/2001/XMLSchema" xmlns:xs="http://www.w3.org/2001/XMLSchema" xmlns:p="http://schemas.microsoft.com/office/2006/metadata/properties" xmlns:ns3="55445330-8db1-4e00-ba21-9ae533c2f79f" xmlns:ns4="01b87cba-f9cc-4b22-9f47-4607c704f35c" targetNamespace="http://schemas.microsoft.com/office/2006/metadata/properties" ma:root="true" ma:fieldsID="f64e6bd229d78df17e180577643e8684" ns3:_="" ns4:_="">
    <xsd:import namespace="55445330-8db1-4e00-ba21-9ae533c2f79f"/>
    <xsd:import namespace="01b87cba-f9cc-4b22-9f47-4607c704f35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445330-8db1-4e00-ba21-9ae533c2f7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b87cba-f9cc-4b22-9f47-4607c704f35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AC2C8C-656B-47E6-83BF-51BC079BE277}">
  <ds:schemaRefs>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schemas.microsoft.com/office/infopath/2007/PartnerControls"/>
    <ds:schemaRef ds:uri="http://purl.org/dc/elements/1.1/"/>
    <ds:schemaRef ds:uri="http://purl.org/dc/terms/"/>
    <ds:schemaRef ds:uri="01b87cba-f9cc-4b22-9f47-4607c704f35c"/>
    <ds:schemaRef ds:uri="55445330-8db1-4e00-ba21-9ae533c2f79f"/>
    <ds:schemaRef ds:uri="http://www.w3.org/XML/1998/namespace"/>
  </ds:schemaRefs>
</ds:datastoreItem>
</file>

<file path=customXml/itemProps2.xml><?xml version="1.0" encoding="utf-8"?>
<ds:datastoreItem xmlns:ds="http://schemas.openxmlformats.org/officeDocument/2006/customXml" ds:itemID="{DB1418B0-8C6D-44C7-883B-71BAA00051FE}">
  <ds:schemaRefs>
    <ds:schemaRef ds:uri="http://schemas.microsoft.com/sharepoint/v3/contenttype/forms"/>
  </ds:schemaRefs>
</ds:datastoreItem>
</file>

<file path=customXml/itemProps3.xml><?xml version="1.0" encoding="utf-8"?>
<ds:datastoreItem xmlns:ds="http://schemas.openxmlformats.org/officeDocument/2006/customXml" ds:itemID="{6BD1F03C-31BE-4645-B724-B58FB79307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445330-8db1-4e00-ba21-9ae533c2f79f"/>
    <ds:schemaRef ds:uri="01b87cba-f9cc-4b22-9f47-4607c704f3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Instructions</vt:lpstr>
      <vt:lpstr>IT 2023-24</vt:lpstr>
      <vt:lpstr>Perquisites</vt:lpstr>
      <vt:lpstr>NSC Accrued Interest</vt:lpstr>
      <vt:lpstr>TDS</vt:lpstr>
      <vt:lpstr>Capital Gains - Equity</vt:lpstr>
      <vt:lpstr>Cap Gains - Property&amp;Debt MF</vt:lpstr>
      <vt:lpstr>Notes</vt:lpstr>
      <vt:lpstr>Cost Inflation Index</vt:lpstr>
      <vt:lpstr>Copyright</vt:lpstr>
      <vt:lpstr>'Cap Gains - Property&amp;Debt MF'!Print_Area</vt:lpstr>
      <vt:lpstr>'Capital Gains - Equity'!Print_Area</vt:lpstr>
      <vt:lpstr>Instructions!Print_Area</vt:lpstr>
      <vt:lpstr>'IT 2023-24'!Print_Area</vt:lpstr>
      <vt:lpstr>Notes!Print_Area</vt:lpstr>
      <vt:lpstr>'NSC Accrued Interest'!Print_Area</vt:lpstr>
      <vt:lpstr>Perquisites!Print_Area</vt:lpstr>
      <vt:lpstr>TDS!Print_Area</vt:lpstr>
      <vt:lpstr>'Cap Gains - Property&amp;Debt MF'!Print_Titles</vt:lpstr>
      <vt:lpstr>'Capital Gains - Equity'!Print_Titles</vt:lpstr>
      <vt:lpstr>Instructions!Print_Titles</vt:lpstr>
      <vt:lpstr>'IT 2023-24'!Print_Titles</vt:lpstr>
      <vt:lpstr>Notes!Print_Titles</vt:lpstr>
      <vt:lpstr>TDS!Print_Titles</vt:lpstr>
      <vt:lpstr>VerNo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Income Tax Calculator for FY 2010-11</dc:title>
  <dc:subject>Income Tax Calculator</dc:subject>
  <dc:creator>Nithyanand Yeswanth</dc:creator>
  <cp:keywords>Income, Tax, India, Indian, Calculator</cp:keywords>
  <dc:description>Nithyanand Yeswanth_x000d_
Bangalore, INDIA_x000d_
e-mail: taxcalc@ynithya.com</dc:description>
  <cp:lastModifiedBy>Nithyanand Yeswanth</cp:lastModifiedBy>
  <cp:lastPrinted>2023-07-15T14:21:41Z</cp:lastPrinted>
  <dcterms:created xsi:type="dcterms:W3CDTF">2007-03-03T14:46:42Z</dcterms:created>
  <dcterms:modified xsi:type="dcterms:W3CDTF">2023-07-15T14:25:56Z</dcterms:modified>
  <cp:category>Tax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Ynithya@ad.infosys.com</vt:lpwstr>
  </property>
  <property fmtid="{D5CDD505-2E9C-101B-9397-08002B2CF9AE}" pid="5" name="MSIP_Label_be4b3411-284d-4d31-bd4f-bc13ef7f1fd6_SetDate">
    <vt:lpwstr>2019-05-04T16:38:19.0535967Z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Extended_MSFT_Method">
    <vt:lpwstr>Automatic</vt:lpwstr>
  </property>
  <property fmtid="{D5CDD505-2E9C-101B-9397-08002B2CF9AE}" pid="9" name="MSIP_Label_a0819fa7-4367-4500-ba88-dd630d977609_Enabled">
    <vt:lpwstr>True</vt:lpwstr>
  </property>
  <property fmtid="{D5CDD505-2E9C-101B-9397-08002B2CF9AE}" pid="10" name="MSIP_Label_a0819fa7-4367-4500-ba88-dd630d977609_SiteId">
    <vt:lpwstr>63ce7d59-2f3e-42cd-a8cc-be764cff5eb6</vt:lpwstr>
  </property>
  <property fmtid="{D5CDD505-2E9C-101B-9397-08002B2CF9AE}" pid="11" name="MSIP_Label_a0819fa7-4367-4500-ba88-dd630d977609_Owner">
    <vt:lpwstr>Ynithya@ad.infosys.com</vt:lpwstr>
  </property>
  <property fmtid="{D5CDD505-2E9C-101B-9397-08002B2CF9AE}" pid="12" name="MSIP_Label_a0819fa7-4367-4500-ba88-dd630d977609_SetDate">
    <vt:lpwstr>2019-05-04T16:38:19.0535967Z</vt:lpwstr>
  </property>
  <property fmtid="{D5CDD505-2E9C-101B-9397-08002B2CF9AE}" pid="13" name="MSIP_Label_a0819fa7-4367-4500-ba88-dd630d977609_Name">
    <vt:lpwstr>Companywide usage</vt:lpwstr>
  </property>
  <property fmtid="{D5CDD505-2E9C-101B-9397-08002B2CF9AE}" pid="14" name="MSIP_Label_a0819fa7-4367-4500-ba88-dd630d977609_Application">
    <vt:lpwstr>Microsoft Azure Information Protection</vt:lpwstr>
  </property>
  <property fmtid="{D5CDD505-2E9C-101B-9397-08002B2CF9AE}" pid="15" name="MSIP_Label_a0819fa7-4367-4500-ba88-dd630d977609_Parent">
    <vt:lpwstr>be4b3411-284d-4d31-bd4f-bc13ef7f1fd6</vt:lpwstr>
  </property>
  <property fmtid="{D5CDD505-2E9C-101B-9397-08002B2CF9AE}" pid="16" name="MSIP_Label_a0819fa7-4367-4500-ba88-dd630d977609_Extended_MSFT_Method">
    <vt:lpwstr>Automatic</vt:lpwstr>
  </property>
  <property fmtid="{D5CDD505-2E9C-101B-9397-08002B2CF9AE}" pid="17" name="Sensitivity">
    <vt:lpwstr>Internal Companywide usage</vt:lpwstr>
  </property>
  <property fmtid="{D5CDD505-2E9C-101B-9397-08002B2CF9AE}" pid="18" name="ContentTypeId">
    <vt:lpwstr>0x010100468F06F8722FB947AF97A0765935A78C</vt:lpwstr>
  </property>
</Properties>
</file>